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2\09\"/>
    </mc:Choice>
  </mc:AlternateContent>
  <xr:revisionPtr revIDLastSave="0" documentId="13_ncr:1_{62A0F336-C45B-4E0F-968A-B17AA835F39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 iterate="1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4" l="1"/>
  <c r="AC53" i="4"/>
  <c r="AC50" i="4" s="1"/>
  <c r="AC48" i="4"/>
  <c r="AC45" i="4"/>
  <c r="AC41" i="4"/>
  <c r="AC38" i="4" s="1"/>
  <c r="AC37" i="4" s="1"/>
  <c r="AC39" i="4"/>
  <c r="AC31" i="4"/>
  <c r="AC29" i="4"/>
  <c r="AC28" i="4"/>
  <c r="AC27" i="4" s="1"/>
  <c r="AC24" i="4"/>
  <c r="AC20" i="4"/>
  <c r="AC17" i="4"/>
  <c r="AC9" i="4" s="1"/>
  <c r="AB28" i="4"/>
  <c r="AB26" i="4"/>
  <c r="V28" i="4"/>
  <c r="V26" i="4"/>
  <c r="AC23" i="4" l="1"/>
  <c r="AC22" i="4" s="1"/>
  <c r="AC7" i="4" s="1"/>
  <c r="AC8" i="4" s="1"/>
  <c r="AD54" i="4" l="1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V54" i="4"/>
  <c r="Y18" i="4"/>
  <c r="Y20" i="4"/>
  <c r="Y19" i="4"/>
  <c r="Y16" i="4"/>
  <c r="Y15" i="4"/>
  <c r="Y14" i="4"/>
  <c r="Y13" i="4"/>
  <c r="Y12" i="4"/>
  <c r="Y11" i="4"/>
  <c r="AA28" i="4" l="1"/>
  <c r="AA26" i="4"/>
  <c r="U10" i="4" l="1"/>
  <c r="T50" i="4"/>
  <c r="S50" i="4"/>
  <c r="T17" i="4"/>
  <c r="T9" i="4" s="1"/>
  <c r="T24" i="4"/>
  <c r="T27" i="4"/>
  <c r="T23" i="4" s="1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S22" i="4" l="1"/>
  <c r="T22" i="4"/>
  <c r="T7" i="4" s="1"/>
  <c r="T8" i="4" s="1"/>
  <c r="S7" i="4"/>
  <c r="S8" i="4" s="1"/>
  <c r="AG52" i="4" l="1"/>
  <c r="AG53" i="4"/>
  <c r="AF52" i="4"/>
  <c r="AF35" i="4"/>
  <c r="AF34" i="4"/>
  <c r="AF33" i="4"/>
  <c r="AF32" i="4"/>
  <c r="Y52" i="4"/>
  <c r="Y53" i="4"/>
  <c r="Y51" i="4"/>
  <c r="V50" i="4"/>
  <c r="W50" i="4"/>
  <c r="X50" i="4"/>
  <c r="U52" i="4"/>
  <c r="U50" i="4" s="1"/>
  <c r="U53" i="4"/>
  <c r="U51" i="4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3" i="4" l="1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4" i="4"/>
  <c r="AF46" i="4"/>
  <c r="AF47" i="4"/>
  <c r="X17" i="4" l="1"/>
  <c r="V24" i="4" l="1"/>
  <c r="AE63" i="4"/>
  <c r="Y42" i="4"/>
  <c r="Y41" i="4"/>
  <c r="AA24" i="4"/>
  <c r="AB24" i="4"/>
  <c r="X9" i="4" l="1"/>
  <c r="AB38" i="4"/>
  <c r="AB37" i="4" s="1"/>
  <c r="AM63" i="4"/>
  <c r="Q63" i="4"/>
  <c r="AM62" i="4"/>
  <c r="AG62" i="4"/>
  <c r="AF62" i="4"/>
  <c r="Y62" i="4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AQ59" i="4" s="1"/>
  <c r="Y59" i="4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AO55" i="4" s="1"/>
  <c r="Y55" i="4"/>
  <c r="U55" i="4"/>
  <c r="R55" i="4"/>
  <c r="P55" i="4"/>
  <c r="M55" i="4"/>
  <c r="K55" i="4"/>
  <c r="AM54" i="4"/>
  <c r="AB54" i="4"/>
  <c r="AA54" i="4"/>
  <c r="Z54" i="4"/>
  <c r="X54" i="4"/>
  <c r="O54" i="4"/>
  <c r="N54" i="4"/>
  <c r="L54" i="4"/>
  <c r="J54" i="4"/>
  <c r="AT53" i="4"/>
  <c r="AM53" i="4"/>
  <c r="AF53" i="4"/>
  <c r="K53" i="4"/>
  <c r="R53" i="4"/>
  <c r="P53" i="4"/>
  <c r="AM51" i="4"/>
  <c r="AG51" i="4"/>
  <c r="AF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G41" i="4"/>
  <c r="AF41" i="4"/>
  <c r="AG40" i="4"/>
  <c r="AF40" i="4"/>
  <c r="Y40" i="4"/>
  <c r="U40" i="4"/>
  <c r="R40" i="4"/>
  <c r="P40" i="4"/>
  <c r="AG39" i="4"/>
  <c r="AF39" i="4"/>
  <c r="AO39" i="4" s="1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K38" i="4"/>
  <c r="AM37" i="4"/>
  <c r="O37" i="4"/>
  <c r="N37" i="4"/>
  <c r="L37" i="4"/>
  <c r="J37" i="4"/>
  <c r="AM36" i="4"/>
  <c r="AG36" i="4"/>
  <c r="AF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AF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AF26" i="4"/>
  <c r="Y26" i="4"/>
  <c r="R26" i="4"/>
  <c r="AG25" i="4"/>
  <c r="AF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AF20" i="4"/>
  <c r="U20" i="4"/>
  <c r="R20" i="4"/>
  <c r="P20" i="4"/>
  <c r="M20" i="4"/>
  <c r="K20" i="4"/>
  <c r="AM19" i="4"/>
  <c r="AG19" i="4"/>
  <c r="AF19" i="4"/>
  <c r="U19" i="4"/>
  <c r="R19" i="4"/>
  <c r="P19" i="4"/>
  <c r="M19" i="4"/>
  <c r="K19" i="4"/>
  <c r="AM18" i="4"/>
  <c r="AG18" i="4"/>
  <c r="AF18" i="4"/>
  <c r="U18" i="4"/>
  <c r="U17" i="4" s="1"/>
  <c r="R18" i="4"/>
  <c r="R17" i="4" s="1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AF16" i="4"/>
  <c r="U16" i="4"/>
  <c r="R16" i="4"/>
  <c r="P16" i="4"/>
  <c r="M16" i="4"/>
  <c r="K16" i="4"/>
  <c r="AM15" i="4"/>
  <c r="AG15" i="4"/>
  <c r="AF15" i="4"/>
  <c r="U15" i="4"/>
  <c r="R15" i="4"/>
  <c r="P15" i="4"/>
  <c r="M15" i="4"/>
  <c r="K15" i="4"/>
  <c r="AM14" i="4"/>
  <c r="AG14" i="4"/>
  <c r="AF14" i="4"/>
  <c r="U14" i="4"/>
  <c r="R14" i="4"/>
  <c r="P14" i="4"/>
  <c r="M14" i="4"/>
  <c r="K14" i="4"/>
  <c r="AM13" i="4"/>
  <c r="AG13" i="4"/>
  <c r="AF13" i="4"/>
  <c r="AQ13" i="4" s="1"/>
  <c r="P13" i="4"/>
  <c r="M13" i="4"/>
  <c r="K13" i="4"/>
  <c r="AM12" i="4"/>
  <c r="AG12" i="4"/>
  <c r="AF12" i="4"/>
  <c r="U12" i="4"/>
  <c r="R12" i="4"/>
  <c r="P12" i="4"/>
  <c r="M12" i="4"/>
  <c r="AS12" i="4" s="1"/>
  <c r="K12" i="4"/>
  <c r="AM11" i="4"/>
  <c r="AG11" i="4"/>
  <c r="AF11" i="4"/>
  <c r="U11" i="4"/>
  <c r="R11" i="4"/>
  <c r="P11" i="4"/>
  <c r="M11" i="4"/>
  <c r="K11" i="4"/>
  <c r="AT10" i="4"/>
  <c r="AM10" i="4"/>
  <c r="AG10" i="4"/>
  <c r="AF10" i="4"/>
  <c r="AQ10" i="4" s="1"/>
  <c r="R10" i="4"/>
  <c r="P10" i="4"/>
  <c r="M10" i="4"/>
  <c r="K10" i="4"/>
  <c r="AM7" i="4"/>
  <c r="M37" i="4" l="1"/>
  <c r="AN11" i="4"/>
  <c r="AQ11" i="4"/>
  <c r="AN56" i="4"/>
  <c r="AO56" i="4"/>
  <c r="AK56" i="4"/>
  <c r="AQ62" i="4"/>
  <c r="Y54" i="4"/>
  <c r="AQ43" i="4"/>
  <c r="AN19" i="4"/>
  <c r="AQ19" i="4"/>
  <c r="AH61" i="4"/>
  <c r="AL57" i="4"/>
  <c r="AO57" i="4"/>
  <c r="AN58" i="4"/>
  <c r="AO58" i="4"/>
  <c r="AO14" i="4"/>
  <c r="AQ14" i="4"/>
  <c r="AO15" i="4"/>
  <c r="AQ15" i="4"/>
  <c r="AO16" i="4"/>
  <c r="AQ16" i="4"/>
  <c r="AK12" i="4"/>
  <c r="AQ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U54" i="4"/>
  <c r="AN42" i="4"/>
  <c r="AK42" i="4"/>
  <c r="AL13" i="4"/>
  <c r="AN46" i="4"/>
  <c r="AP21" i="4"/>
  <c r="Y45" i="4"/>
  <c r="Y17" i="4"/>
  <c r="Y9" i="4" s="1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O53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K14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Q51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S24" i="4" s="1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Q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P13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J48" i="4"/>
  <c r="AT51" i="4"/>
  <c r="AT50" i="4" s="1"/>
  <c r="J63" i="4"/>
  <c r="AF54" i="4"/>
  <c r="AS55" i="4"/>
  <c r="M54" i="4"/>
  <c r="AI55" i="4"/>
  <c r="AH41" i="4"/>
  <c r="AH13" i="4"/>
  <c r="AR13" i="4"/>
  <c r="AN15" i="4"/>
  <c r="AR18" i="4"/>
  <c r="AJ18" i="4"/>
  <c r="AI18" i="4"/>
  <c r="AF17" i="4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P1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F9" i="4" l="1"/>
  <c r="AQ17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Y7" i="4" s="1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AA63" i="4" l="1"/>
  <c r="P8" i="4"/>
  <c r="V3" i="4"/>
  <c r="W8" i="4"/>
  <c r="V65" i="4"/>
  <c r="AG7" i="4"/>
  <c r="Y8" i="4"/>
  <c r="Y63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Z3" i="4" l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G63" i="4" l="1"/>
  <c r="AL63" i="4"/>
  <c r="AK63" i="4"/>
  <c r="AR63" i="4"/>
  <c r="AJ63" i="4"/>
  <c r="AQ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/>
</calcChain>
</file>

<file path=xl/sharedStrings.xml><?xml version="1.0" encoding="utf-8"?>
<sst xmlns="http://schemas.openxmlformats.org/spreadsheetml/2006/main" count="141" uniqueCount="116">
  <si>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</si>
  <si>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</si>
  <si>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</si>
  <si>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</si>
  <si>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</si>
  <si>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</si>
  <si>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</si>
  <si>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</si>
  <si>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</si>
  <si>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</si>
  <si>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</si>
  <si>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</si>
  <si>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</si>
  <si>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</si>
  <si>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</si>
  <si>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</si>
  <si>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</si>
  <si>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</si>
  <si>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</si>
  <si>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</si>
  <si>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</si>
  <si>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</si>
  <si>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</si>
  <si>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</si>
  <si>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</si>
  <si>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</si>
  <si>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</si>
  <si>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</si>
  <si>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</si>
  <si>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</si>
  <si>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</si>
  <si>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</si>
  <si>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</si>
  <si>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</si>
  <si>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</si>
  <si>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</si>
  <si>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</si>
  <si>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</si>
  <si>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</si>
  <si>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</si>
  <si>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</si>
  <si>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</si>
  <si>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</si>
  <si>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</si>
  <si>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</si>
  <si>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</si>
  <si>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</si>
  <si>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</si>
  <si>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</si>
  <si>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</si>
  <si>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</si>
  <si>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</si>
  <si>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</si>
  <si>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</si>
  <si>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</si>
  <si>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</si>
  <si>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</si>
  <si>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</si>
  <si>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</si>
  <si>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</si>
  <si>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</si>
  <si>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</si>
  <si>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</si>
  <si>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</si>
  <si>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</si>
  <si>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</si>
  <si>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</si>
  <si>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</si>
  <si>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</si>
  <si>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</si>
  <si>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</si>
  <si>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в связи с уменьшением исков в суды общей юрисдикции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</si>
  <si>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</si>
  <si>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</si>
  <si>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</si>
  <si>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</si>
  <si>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</si>
  <si>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начаты мероприятия по направлению увед-й по урегурир. образовавшейся задолженности</t>
  </si>
  <si>
    <t>в связи с заключением договоров аренды на краткосрочный период (11 мес.). Ведется работа по заключению договоров аренды на новый срок (АО "Почта России", Филиал ГУП СК "Ставэлектросеть")</t>
  </si>
  <si>
    <t>этот вид дохода носит заявительный характер, уменьшилось количество обращений граждан и юридических лиц о выкупе земельных участков</t>
  </si>
  <si>
    <t xml:space="preserve">в связи с сокращением количества проведенных аукционов;  
снижение кадастровой стоимости
</t>
  </si>
  <si>
    <t>в связи с отсутствием уплаты по расчету за 2023 год (образовавшаяся задолженность);
19 налогоплательщиков увеличили срок по патенту (с 3-х месяцев на 12 месяцев)</t>
  </si>
  <si>
    <t>откл за отч период к  плану года</t>
  </si>
  <si>
    <t>начальник ФУ АБМО СК</t>
  </si>
  <si>
    <t xml:space="preserve">за счет роста ФОТ за январь – июль 2023 года (по данным Управления Федеральной службы государственной статистики по Северо-Кавказскому Федеральному округу) на 13.4% </t>
  </si>
  <si>
    <t>непредставление уведомлений об исчисленных суммах, уменьшение сумм кадастровой стоимости по решению суда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</si>
  <si>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</si>
  <si>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</si>
  <si>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</si>
  <si>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</si>
  <si>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</si>
  <si>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</si>
  <si>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</si>
  <si>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</si>
  <si>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</si>
  <si>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</si>
  <si>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</si>
  <si>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</si>
  <si>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</si>
  <si>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</si>
  <si>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</si>
  <si>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</si>
  <si>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</si>
  <si>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</si>
  <si>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</si>
  <si>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</si>
  <si>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>на 2 месяца 2024 года</t>
  </si>
  <si>
    <t>откл.+- от плана за 2 месяца 2024 года</t>
  </si>
  <si>
    <t>Исполнено с 01.01.2023 по 08.02.2023 год</t>
  </si>
  <si>
    <r>
      <t>Исполнено с 01.01.2023 года по 08.02.2023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</si>
  <si>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26.01.2024 по 01.02.2024 (неделя) П</t>
  </si>
  <si>
    <t>с 02.02.2024 по 08.02.2024 (неделя) Т</t>
  </si>
  <si>
    <t>Исполнение с 01.01.2024 по 01.02.2024
(53,08%)</t>
  </si>
  <si>
    <r>
      <t xml:space="preserve">Исполнение с 01.01.2024 по 08.02.2024
</t>
    </r>
    <r>
      <rPr>
        <b/>
        <sz val="14"/>
        <rFont val="Times New Roman"/>
        <family val="1"/>
        <charset val="204"/>
      </rPr>
      <t>(53,08%)</t>
    </r>
  </si>
  <si>
    <t>откл.+- от исполнения на 08.02.2023 г  (в сопоставимых условиях 2024 года)</t>
  </si>
  <si>
    <t>Исполнение бюджета Благодарненского муниципального округа Ставропольского края по доходам по состоянию на 08.02.2024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</si>
</sst>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1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I1" sqref="I1:AJ2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6.140625" style="1" customWidth="1"/>
    <col min="22" max="22" width="26.28515625" style="1" hidden="1" customWidth="1"/>
    <col min="23" max="23" width="21.85546875" style="1" hidden="1" customWidth="1"/>
    <col min="24" max="24" width="23.1406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0.28515625" style="1" hidden="1" customWidth="1"/>
    <col min="29" max="29" width="22.140625" style="1" hidden="1" customWidth="1"/>
    <col min="30" max="30" width="23.5703125" style="1" hidden="1" customWidth="1"/>
    <col min="31" max="31" width="23.85546875" style="1" hidden="1" customWidth="1"/>
    <col min="32" max="32" width="26.2851562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37" t="s">
        <v>115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4.068162144259186</v>
      </c>
      <c r="U3" s="104"/>
      <c r="V3" s="106">
        <f>V8/S8%</f>
        <v>3.9734914125405254</v>
      </c>
      <c r="W3" s="106"/>
      <c r="X3" s="105"/>
      <c r="Y3" s="80"/>
      <c r="Z3" s="80">
        <f>U3-Y63</f>
        <v>-206908993.60278898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38" t="s">
        <v>34</v>
      </c>
      <c r="J4" s="129" t="s">
        <v>45</v>
      </c>
      <c r="K4" s="129" t="s">
        <v>51</v>
      </c>
      <c r="L4" s="136" t="s">
        <v>56</v>
      </c>
      <c r="M4" s="129" t="s">
        <v>54</v>
      </c>
      <c r="N4" s="129" t="s">
        <v>53</v>
      </c>
      <c r="O4" s="136" t="s">
        <v>50</v>
      </c>
      <c r="P4" s="129" t="s">
        <v>63</v>
      </c>
      <c r="Q4" s="136" t="s">
        <v>65</v>
      </c>
      <c r="R4" s="129" t="s">
        <v>64</v>
      </c>
      <c r="S4" s="128" t="s">
        <v>91</v>
      </c>
      <c r="T4" s="136" t="s">
        <v>90</v>
      </c>
      <c r="U4" s="129" t="s">
        <v>92</v>
      </c>
      <c r="V4" s="136" t="s">
        <v>108</v>
      </c>
      <c r="W4" s="139" t="s">
        <v>82</v>
      </c>
      <c r="X4" s="125" t="s">
        <v>89</v>
      </c>
      <c r="Y4" s="129" t="s">
        <v>109</v>
      </c>
      <c r="Z4" s="130" t="s">
        <v>66</v>
      </c>
      <c r="AA4" s="132" t="s">
        <v>105</v>
      </c>
      <c r="AB4" s="133"/>
      <c r="AC4" s="122" t="s">
        <v>57</v>
      </c>
      <c r="AD4" s="122"/>
      <c r="AE4" s="134" t="s">
        <v>112</v>
      </c>
      <c r="AF4" s="129" t="s">
        <v>113</v>
      </c>
      <c r="AG4" s="126" t="s">
        <v>43</v>
      </c>
      <c r="AH4" s="128" t="s">
        <v>67</v>
      </c>
      <c r="AI4" s="128"/>
      <c r="AJ4" s="122" t="s">
        <v>104</v>
      </c>
      <c r="AK4" s="122"/>
      <c r="AL4" s="122" t="s">
        <v>52</v>
      </c>
      <c r="AM4" s="122"/>
      <c r="AN4" s="122" t="s">
        <v>107</v>
      </c>
      <c r="AO4" s="122"/>
      <c r="AP4" s="122" t="s">
        <v>114</v>
      </c>
      <c r="AQ4" s="122"/>
      <c r="AR4" s="122" t="s">
        <v>55</v>
      </c>
      <c r="AS4" s="122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38"/>
      <c r="J5" s="129"/>
      <c r="K5" s="129"/>
      <c r="L5" s="136"/>
      <c r="M5" s="129"/>
      <c r="N5" s="129"/>
      <c r="O5" s="136"/>
      <c r="P5" s="129"/>
      <c r="Q5" s="136"/>
      <c r="R5" s="129"/>
      <c r="S5" s="128"/>
      <c r="T5" s="136"/>
      <c r="U5" s="129"/>
      <c r="V5" s="136"/>
      <c r="W5" s="140"/>
      <c r="X5" s="125"/>
      <c r="Y5" s="129"/>
      <c r="Z5" s="131"/>
      <c r="AA5" s="41" t="s">
        <v>68</v>
      </c>
      <c r="AB5" s="107" t="s">
        <v>106</v>
      </c>
      <c r="AC5" s="79" t="s">
        <v>110</v>
      </c>
      <c r="AD5" s="79" t="s">
        <v>111</v>
      </c>
      <c r="AE5" s="135"/>
      <c r="AF5" s="129"/>
      <c r="AG5" s="127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23" t="s">
        <v>8</v>
      </c>
      <c r="C7" s="123"/>
      <c r="D7" s="123"/>
      <c r="E7" s="123"/>
      <c r="F7" s="123"/>
      <c r="G7" s="123"/>
      <c r="H7" s="123"/>
      <c r="I7" s="123"/>
      <c r="J7" s="44">
        <f t="shared" ref="J7:P7" si="0">J10+J11+J13+J14+J15+J16+J17+J20+J23+J36+J37+J45+J48+J50+J12</f>
        <v>360649780.94999993</v>
      </c>
      <c r="K7" s="44">
        <f t="shared" si="0"/>
        <v>345072092.21513432</v>
      </c>
      <c r="L7" s="44">
        <f t="shared" si="0"/>
        <v>126453042.85999998</v>
      </c>
      <c r="M7" s="44">
        <f t="shared" si="0"/>
        <v>119268387.37554319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19731477.359999999</v>
      </c>
      <c r="W7" s="44">
        <f>V7/S7%</f>
        <v>4.8144759953384266</v>
      </c>
      <c r="X7" s="44">
        <f>X9+X22</f>
        <v>0</v>
      </c>
      <c r="Y7" s="44">
        <f>Y9+Y22</f>
        <v>27029317.472788945</v>
      </c>
      <c r="Z7" s="44">
        <f t="shared" ref="Z7:AF7" si="2">Z9+Z22</f>
        <v>400415099.64999998</v>
      </c>
      <c r="AA7" s="44">
        <f t="shared" si="2"/>
        <v>577599454.96000004</v>
      </c>
      <c r="AB7" s="44">
        <f t="shared" si="2"/>
        <v>48366164.789999999</v>
      </c>
      <c r="AC7" s="44">
        <f t="shared" ref="AC7:AD7" si="3">AC9+AC22</f>
        <v>16288562.83</v>
      </c>
      <c r="AD7" s="44">
        <f t="shared" si="3"/>
        <v>10984079.75</v>
      </c>
      <c r="AE7" s="44">
        <v>23022516.289999999</v>
      </c>
      <c r="AF7" s="44">
        <f t="shared" si="2"/>
        <v>34006596.040000007</v>
      </c>
      <c r="AG7" s="44">
        <f>AD7-AC7</f>
        <v>-5304483.08</v>
      </c>
      <c r="AH7" s="44">
        <f t="shared" ref="AH7:AH63" si="4">AF7-Z7</f>
        <v>-366408503.60999995</v>
      </c>
      <c r="AI7" s="44">
        <f t="shared" ref="AI7:AI28" si="5">AF7/Z7*100</f>
        <v>8.4928355773108777</v>
      </c>
      <c r="AJ7" s="44">
        <f>AF7-AA7</f>
        <v>-543592858.92000008</v>
      </c>
      <c r="AK7" s="44">
        <f>AF7/AA7%</f>
        <v>5.8875741221665514</v>
      </c>
      <c r="AL7" s="44" t="e">
        <f>AF7-#REF!</f>
        <v>#REF!</v>
      </c>
      <c r="AM7" s="44" t="e">
        <f>IF(#REF!=0,0,AF7/#REF!*100)</f>
        <v>#REF!</v>
      </c>
      <c r="AN7" s="44">
        <f>AF7-AB7</f>
        <v>-14359568.749999993</v>
      </c>
      <c r="AO7" s="44">
        <f>AF7/AB7*100</f>
        <v>70.310714499800653</v>
      </c>
      <c r="AP7" s="44">
        <f>AF7-Y7</f>
        <v>6977278.5672110617</v>
      </c>
      <c r="AQ7" s="44">
        <f>AF7/Y7%</f>
        <v>125.81374307447922</v>
      </c>
      <c r="AR7" s="44">
        <f>AF7-M7</f>
        <v>-85261791.335543185</v>
      </c>
      <c r="AS7" s="44">
        <f>IF(M7=0,0,AF7/M7*100)</f>
        <v>28.512665248774287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14705138.26</v>
      </c>
      <c r="W8" s="44">
        <f t="shared" ref="W8:W9" si="7">V8/S8%</f>
        <v>3.9734914125405254</v>
      </c>
      <c r="X8" s="52">
        <f t="shared" ref="X8:AB8" si="8">X7-X37-X53</f>
        <v>0</v>
      </c>
      <c r="Y8" s="52">
        <f t="shared" si="8"/>
        <v>22002978.372788943</v>
      </c>
      <c r="Z8" s="52">
        <f t="shared" si="8"/>
        <v>372608810</v>
      </c>
      <c r="AA8" s="52">
        <f t="shared" si="8"/>
        <v>545150607.50999999</v>
      </c>
      <c r="AB8" s="52">
        <f t="shared" si="8"/>
        <v>43671487.489999995</v>
      </c>
      <c r="AC8" s="52">
        <f t="shared" ref="AC8:AD8" si="9">AC7-AC37-AC53</f>
        <v>16004982.83</v>
      </c>
      <c r="AD8" s="52">
        <f t="shared" si="9"/>
        <v>8639479.5200000014</v>
      </c>
      <c r="AE8" s="52">
        <v>22522121.119999997</v>
      </c>
      <c r="AF8" s="52">
        <f>AF7-AF37-AF53</f>
        <v>31161600.640000008</v>
      </c>
      <c r="AG8" s="51">
        <f t="shared" ref="AG8:AG63" si="10">AD8-AC8</f>
        <v>-7365503.3099999987</v>
      </c>
      <c r="AH8" s="64">
        <f t="shared" si="4"/>
        <v>-341447209.36000001</v>
      </c>
      <c r="AI8" s="64">
        <f t="shared" si="5"/>
        <v>8.3630874535682622</v>
      </c>
      <c r="AJ8" s="51">
        <f t="shared" ref="AJ8:AJ62" si="11">AF8-AA8</f>
        <v>-513989006.87</v>
      </c>
      <c r="AK8" s="51">
        <f>AF8/AA8%</f>
        <v>5.7161452653115488</v>
      </c>
      <c r="AL8" s="51"/>
      <c r="AM8" s="51"/>
      <c r="AN8" s="64">
        <f t="shared" ref="AN8:AN63" si="12">AF8-AB8</f>
        <v>-12509886.849999987</v>
      </c>
      <c r="AO8" s="64">
        <f t="shared" ref="AO8:AO63" si="13">AF8/AB8*100</f>
        <v>71.354566631455967</v>
      </c>
      <c r="AP8" s="51">
        <f t="shared" ref="AP8:AP63" si="14">AF8-Y8</f>
        <v>9158622.2672110647</v>
      </c>
      <c r="AQ8" s="51">
        <f>AF8/Y8%</f>
        <v>141.62446607018222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69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13154812.710000001</v>
      </c>
      <c r="W9" s="44">
        <f t="shared" si="7"/>
        <v>4.068162144259186</v>
      </c>
      <c r="X9" s="70">
        <f t="shared" si="16"/>
        <v>0</v>
      </c>
      <c r="Y9" s="70">
        <f>Y10+Y11+Y12+Y13+Y14+Y15+Y16+Y17+Y20+Y21</f>
        <v>20452652.822788943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42742481</v>
      </c>
      <c r="AC9" s="70">
        <f t="shared" ref="AC9:AD9" si="17">AC10+AC11+AC12+AC13+AC14+AC15+AC16+AC17+AC20+AC21</f>
        <v>14614415.68</v>
      </c>
      <c r="AD9" s="70">
        <f t="shared" si="17"/>
        <v>7863478.9500000002</v>
      </c>
      <c r="AE9" s="70">
        <v>20707599.84</v>
      </c>
      <c r="AF9" s="70">
        <f>AF10+AF11+AF12+AF13+AF14+AF15+AF16+AF17+AF20+AF21</f>
        <v>28571078.790000003</v>
      </c>
      <c r="AG9" s="71">
        <f t="shared" si="10"/>
        <v>-6750936.7299999995</v>
      </c>
      <c r="AH9" s="72"/>
      <c r="AI9" s="72"/>
      <c r="AJ9" s="71">
        <f t="shared" si="11"/>
        <v>-465319258.71999997</v>
      </c>
      <c r="AK9" s="71">
        <f>AF9/AA9%</f>
        <v>5.7849033722838348</v>
      </c>
      <c r="AL9" s="73"/>
      <c r="AM9" s="73"/>
      <c r="AN9" s="72">
        <f t="shared" si="12"/>
        <v>-14171402.209999997</v>
      </c>
      <c r="AO9" s="72">
        <f t="shared" si="13"/>
        <v>66.844689689398237</v>
      </c>
      <c r="AP9" s="71">
        <f t="shared" si="14"/>
        <v>8118425.9672110602</v>
      </c>
      <c r="AQ9" s="71">
        <f>AF9/Y9%</f>
        <v>139.69375531649993</v>
      </c>
      <c r="AR9" s="23"/>
      <c r="AS9" s="23"/>
      <c r="AT9" s="49"/>
    </row>
    <row r="10" spans="1:47" s="10" customFormat="1" ht="91.5" hidden="1" customHeight="1" x14ac:dyDescent="0.3">
      <c r="A10" s="9"/>
      <c r="B10" s="124" t="s">
        <v>26</v>
      </c>
      <c r="C10" s="124"/>
      <c r="D10" s="124"/>
      <c r="E10" s="124"/>
      <c r="F10" s="124"/>
      <c r="G10" s="124"/>
      <c r="H10" s="124"/>
      <c r="I10" s="124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10939888.380000001</v>
      </c>
      <c r="W10" s="12"/>
      <c r="X10" s="46"/>
      <c r="Y10" s="47">
        <f>V10/31.84%*53.08%</f>
        <v>18237728.492788944</v>
      </c>
      <c r="Z10" s="46">
        <v>188231000</v>
      </c>
      <c r="AA10" s="46">
        <v>340259137.50999999</v>
      </c>
      <c r="AB10" s="46">
        <v>32309053</v>
      </c>
      <c r="AC10" s="46">
        <v>10803045.51</v>
      </c>
      <c r="AD10" s="46">
        <v>7463658.96</v>
      </c>
      <c r="AE10" s="46">
        <v>11818610.560000001</v>
      </c>
      <c r="AF10" s="46">
        <f>AE10+AD10</f>
        <v>19282269.52</v>
      </c>
      <c r="AG10" s="46">
        <f t="shared" si="10"/>
        <v>-3339386.55</v>
      </c>
      <c r="AH10" s="44">
        <f t="shared" si="4"/>
        <v>-168948730.47999999</v>
      </c>
      <c r="AI10" s="44">
        <f t="shared" si="5"/>
        <v>10.243939372366933</v>
      </c>
      <c r="AJ10" s="46">
        <f t="shared" si="11"/>
        <v>-320976867.99000001</v>
      </c>
      <c r="AK10" s="44">
        <f t="shared" ref="AK10:AK63" si="18">AF10/AA10%</f>
        <v>5.6669365769591735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-13026783.48</v>
      </c>
      <c r="AO10" s="44">
        <f t="shared" si="13"/>
        <v>59.680701628735441</v>
      </c>
      <c r="AP10" s="46">
        <f t="shared" si="14"/>
        <v>1044541.0272110552</v>
      </c>
      <c r="AQ10" s="44">
        <f t="shared" ref="AQ10:AQ19" si="19">AF10/Y10%</f>
        <v>105.72736362219702</v>
      </c>
      <c r="AR10" s="46">
        <f t="shared" ref="AR10:AR20" si="20">AF10-M10</f>
        <v>-39553180.575543225</v>
      </c>
      <c r="AS10" s="46">
        <f t="shared" ref="AS10:AS20" si="21">IF(M10=0,0,AF10/M10*100)</f>
        <v>32.773216638416827</v>
      </c>
      <c r="AT10" s="48" t="e">
        <f>#REF!</f>
        <v>#REF!</v>
      </c>
      <c r="AU10" s="86" t="s">
        <v>84</v>
      </c>
    </row>
    <row r="11" spans="1:47" s="10" customFormat="1" ht="61.5" hidden="1" customHeight="1" x14ac:dyDescent="0.3">
      <c r="A11" s="9"/>
      <c r="B11" s="118" t="s">
        <v>25</v>
      </c>
      <c r="C11" s="118"/>
      <c r="D11" s="118"/>
      <c r="E11" s="118"/>
      <c r="F11" s="118"/>
      <c r="G11" s="118"/>
      <c r="H11" s="118"/>
      <c r="I11" s="118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3636493.28</v>
      </c>
      <c r="W11" s="12"/>
      <c r="X11" s="12"/>
      <c r="Y11" s="12">
        <f t="shared" ref="Y11:Y16" si="22">V11</f>
        <v>3636493.28</v>
      </c>
      <c r="Z11" s="12">
        <v>28603900</v>
      </c>
      <c r="AA11" s="12">
        <v>32294200</v>
      </c>
      <c r="AB11" s="12">
        <v>5256360</v>
      </c>
      <c r="AC11" s="12">
        <v>2785575.98</v>
      </c>
      <c r="AD11" s="12">
        <v>51637.65</v>
      </c>
      <c r="AE11" s="12">
        <v>2800396.15</v>
      </c>
      <c r="AF11" s="12">
        <f t="shared" ref="AF11:AF62" si="23">AE11+AD11</f>
        <v>2852033.8</v>
      </c>
      <c r="AG11" s="12">
        <f t="shared" si="10"/>
        <v>-2733938.33</v>
      </c>
      <c r="AH11" s="44">
        <f t="shared" si="4"/>
        <v>-25751866.199999999</v>
      </c>
      <c r="AI11" s="44">
        <f t="shared" si="5"/>
        <v>9.9707865011414523</v>
      </c>
      <c r="AJ11" s="12">
        <f t="shared" si="11"/>
        <v>-29442166.199999999</v>
      </c>
      <c r="AK11" s="44">
        <f t="shared" si="18"/>
        <v>8.8314118324652711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-2404326.2000000002</v>
      </c>
      <c r="AO11" s="44">
        <f>AF11/AB11*100</f>
        <v>54.258722766324986</v>
      </c>
      <c r="AP11" s="12">
        <f t="shared" si="14"/>
        <v>-784459.48</v>
      </c>
      <c r="AQ11" s="44">
        <f t="shared" si="19"/>
        <v>78.42813338018874</v>
      </c>
      <c r="AR11" s="12">
        <f t="shared" si="20"/>
        <v>-5041891.3100000005</v>
      </c>
      <c r="AS11" s="12">
        <f t="shared" si="21"/>
        <v>36.129476277739855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4">J12</f>
        <v>0</v>
      </c>
      <c r="L12" s="12">
        <v>0</v>
      </c>
      <c r="M12" s="36">
        <f t="shared" ref="M12" si="25">L12</f>
        <v>0</v>
      </c>
      <c r="N12" s="12">
        <v>8810490.5399999991</v>
      </c>
      <c r="O12" s="12">
        <v>9529840.7599999998</v>
      </c>
      <c r="P12" s="12">
        <f t="shared" ref="P12:P15" si="26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79496.38</v>
      </c>
      <c r="W12" s="12"/>
      <c r="X12" s="12"/>
      <c r="Y12" s="12">
        <f t="shared" si="22"/>
        <v>79496.38</v>
      </c>
      <c r="Z12" s="12">
        <v>11972000</v>
      </c>
      <c r="AA12" s="12">
        <v>27969000</v>
      </c>
      <c r="AB12" s="12">
        <v>225346</v>
      </c>
      <c r="AC12" s="12">
        <v>137144.17000000001</v>
      </c>
      <c r="AD12" s="12">
        <v>-14254.64</v>
      </c>
      <c r="AE12" s="12">
        <v>228467.62000000002</v>
      </c>
      <c r="AF12" s="12">
        <f t="shared" si="23"/>
        <v>214212.98000000004</v>
      </c>
      <c r="AG12" s="12">
        <f t="shared" si="10"/>
        <v>-151398.81</v>
      </c>
      <c r="AH12" s="44">
        <f t="shared" si="4"/>
        <v>-11757787.02</v>
      </c>
      <c r="AI12" s="44">
        <f t="shared" si="5"/>
        <v>1.7892831607083197</v>
      </c>
      <c r="AJ12" s="12">
        <f t="shared" si="11"/>
        <v>-27754787.02</v>
      </c>
      <c r="AK12" s="44">
        <f t="shared" si="18"/>
        <v>0.76589431155922638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-11133.01999999996</v>
      </c>
      <c r="AO12" s="44">
        <f t="shared" si="13"/>
        <v>95.059588366334452</v>
      </c>
      <c r="AP12" s="12">
        <f t="shared" si="14"/>
        <v>134716.60000000003</v>
      </c>
      <c r="AQ12" s="44">
        <f t="shared" si="19"/>
        <v>269.46255917565054</v>
      </c>
      <c r="AR12" s="12">
        <f t="shared" si="20"/>
        <v>214212.98000000004</v>
      </c>
      <c r="AS12" s="12">
        <f t="shared" si="21"/>
        <v>0</v>
      </c>
      <c r="AT12" s="34">
        <f>AF12</f>
        <v>214212.98000000004</v>
      </c>
    </row>
    <row r="13" spans="1:47" s="10" customFormat="1" ht="70.5" hidden="1" customHeight="1" x14ac:dyDescent="0.3">
      <c r="A13" s="9"/>
      <c r="B13" s="118" t="s">
        <v>24</v>
      </c>
      <c r="C13" s="118"/>
      <c r="D13" s="118"/>
      <c r="E13" s="118"/>
      <c r="F13" s="118"/>
      <c r="G13" s="118"/>
      <c r="H13" s="118"/>
      <c r="I13" s="118"/>
      <c r="J13" s="12">
        <v>11880184.26</v>
      </c>
      <c r="K13" s="12">
        <f t="shared" si="24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6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7">T13</f>
        <v>-283271.29000000004</v>
      </c>
      <c r="V13" s="12">
        <v>-427182.21</v>
      </c>
      <c r="W13" s="12"/>
      <c r="X13" s="12"/>
      <c r="Y13" s="12">
        <f t="shared" si="22"/>
        <v>-427182.21</v>
      </c>
      <c r="Z13" s="12">
        <v>8000</v>
      </c>
      <c r="AA13" s="12">
        <v>0</v>
      </c>
      <c r="AB13" s="12">
        <v>0</v>
      </c>
      <c r="AC13" s="12">
        <v>20.13</v>
      </c>
      <c r="AD13" s="12">
        <v>0</v>
      </c>
      <c r="AE13" s="12">
        <v>1281.17</v>
      </c>
      <c r="AF13" s="12">
        <f t="shared" si="23"/>
        <v>1281.17</v>
      </c>
      <c r="AG13" s="12">
        <f t="shared" si="10"/>
        <v>-20.13</v>
      </c>
      <c r="AH13" s="44">
        <f t="shared" si="4"/>
        <v>-6718.83</v>
      </c>
      <c r="AI13" s="44">
        <f t="shared" si="5"/>
        <v>16.014625000000002</v>
      </c>
      <c r="AJ13" s="12">
        <f t="shared" si="11"/>
        <v>1281.17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1281.17</v>
      </c>
      <c r="AO13" s="44">
        <v>0</v>
      </c>
      <c r="AP13" s="12">
        <f t="shared" si="14"/>
        <v>428463.38</v>
      </c>
      <c r="AQ13" s="44">
        <f t="shared" si="19"/>
        <v>-0.29991183387529174</v>
      </c>
      <c r="AR13" s="12">
        <f t="shared" si="20"/>
        <v>-5413397.6900000004</v>
      </c>
      <c r="AS13" s="12">
        <f t="shared" si="21"/>
        <v>2.3661052356482689E-2</v>
      </c>
      <c r="AT13" s="34">
        <f>AF13</f>
        <v>1281.17</v>
      </c>
      <c r="AU13" s="86" t="s">
        <v>76</v>
      </c>
    </row>
    <row r="14" spans="1:47" s="10" customFormat="1" ht="42.75" hidden="1" customHeight="1" x14ac:dyDescent="0.3">
      <c r="A14" s="9"/>
      <c r="B14" s="118" t="s">
        <v>23</v>
      </c>
      <c r="C14" s="118"/>
      <c r="D14" s="118"/>
      <c r="E14" s="118"/>
      <c r="F14" s="118"/>
      <c r="G14" s="118"/>
      <c r="H14" s="118"/>
      <c r="I14" s="118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399471.8</v>
      </c>
      <c r="W14" s="12"/>
      <c r="X14" s="12"/>
      <c r="Y14" s="12">
        <f t="shared" si="22"/>
        <v>399471.8</v>
      </c>
      <c r="Z14" s="12">
        <v>5814000</v>
      </c>
      <c r="AA14" s="12">
        <v>7692000</v>
      </c>
      <c r="AB14" s="12">
        <v>14133</v>
      </c>
      <c r="AC14" s="12">
        <v>0</v>
      </c>
      <c r="AD14" s="12">
        <v>4626</v>
      </c>
      <c r="AE14" s="12">
        <v>13403</v>
      </c>
      <c r="AF14" s="12">
        <f t="shared" si="23"/>
        <v>18029</v>
      </c>
      <c r="AG14" s="12">
        <f t="shared" si="10"/>
        <v>4626</v>
      </c>
      <c r="AH14" s="44">
        <f t="shared" si="4"/>
        <v>-5795971</v>
      </c>
      <c r="AI14" s="44">
        <f t="shared" si="5"/>
        <v>0.31009631922944614</v>
      </c>
      <c r="AJ14" s="12">
        <f t="shared" si="11"/>
        <v>-7673971</v>
      </c>
      <c r="AK14" s="44">
        <f t="shared" si="18"/>
        <v>0.2343863754550182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3896</v>
      </c>
      <c r="AO14" s="44">
        <f t="shared" si="13"/>
        <v>127.56668789358238</v>
      </c>
      <c r="AP14" s="12">
        <f t="shared" si="14"/>
        <v>-381442.8</v>
      </c>
      <c r="AQ14" s="44">
        <f t="shared" si="19"/>
        <v>4.5132096934001353</v>
      </c>
      <c r="AR14" s="12">
        <f t="shared" si="20"/>
        <v>-3549048.86</v>
      </c>
      <c r="AS14" s="12">
        <f t="shared" si="21"/>
        <v>0.50542771163397038</v>
      </c>
      <c r="AT14" s="34">
        <f>AF14</f>
        <v>18029</v>
      </c>
      <c r="AU14" s="86"/>
    </row>
    <row r="15" spans="1:47" s="10" customFormat="1" ht="99" hidden="1" customHeight="1" x14ac:dyDescent="0.3">
      <c r="A15" s="9"/>
      <c r="B15" s="118" t="s">
        <v>22</v>
      </c>
      <c r="C15" s="118"/>
      <c r="D15" s="118"/>
      <c r="E15" s="118"/>
      <c r="F15" s="118"/>
      <c r="G15" s="118"/>
      <c r="H15" s="118"/>
      <c r="I15" s="118"/>
      <c r="J15" s="12">
        <v>199821.72</v>
      </c>
      <c r="K15" s="12">
        <f t="shared" ref="K15" si="28">J15</f>
        <v>199821.72</v>
      </c>
      <c r="L15" s="12">
        <v>141824.35999999999</v>
      </c>
      <c r="M15" s="12">
        <f t="shared" ref="M15" si="29">L15</f>
        <v>141824.35999999999</v>
      </c>
      <c r="N15" s="12">
        <v>4514274.29</v>
      </c>
      <c r="O15" s="12">
        <v>6011745.4100000001</v>
      </c>
      <c r="P15" s="12">
        <f t="shared" si="26"/>
        <v>6011745.4100000001</v>
      </c>
      <c r="Q15" s="12">
        <v>6011745.4100000001</v>
      </c>
      <c r="R15" s="12">
        <f t="shared" ref="R15" si="30">Q15</f>
        <v>6011745.4100000001</v>
      </c>
      <c r="S15" s="12">
        <v>2368000</v>
      </c>
      <c r="T15" s="12">
        <v>2659940.33</v>
      </c>
      <c r="U15" s="12">
        <f t="shared" si="27"/>
        <v>2659940.33</v>
      </c>
      <c r="V15" s="12">
        <v>-182136.39</v>
      </c>
      <c r="W15" s="12"/>
      <c r="X15" s="12"/>
      <c r="Y15" s="12">
        <f t="shared" si="22"/>
        <v>-182136.39</v>
      </c>
      <c r="Z15" s="12">
        <v>8168000</v>
      </c>
      <c r="AA15" s="12">
        <v>6694000</v>
      </c>
      <c r="AB15" s="12">
        <v>2015776</v>
      </c>
      <c r="AC15" s="12">
        <v>111895.84</v>
      </c>
      <c r="AD15" s="12">
        <v>73910.17</v>
      </c>
      <c r="AE15" s="12">
        <v>3659932.04</v>
      </c>
      <c r="AF15" s="12">
        <f t="shared" si="23"/>
        <v>3733842.21</v>
      </c>
      <c r="AG15" s="12">
        <f t="shared" si="10"/>
        <v>-37985.67</v>
      </c>
      <c r="AH15" s="44">
        <f t="shared" si="4"/>
        <v>-4434157.79</v>
      </c>
      <c r="AI15" s="44">
        <f t="shared" si="5"/>
        <v>45.713053501469147</v>
      </c>
      <c r="AJ15" s="12">
        <f t="shared" si="11"/>
        <v>-2960157.79</v>
      </c>
      <c r="AK15" s="44">
        <f t="shared" si="18"/>
        <v>55.778939498057959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1718066.21</v>
      </c>
      <c r="AO15" s="44">
        <f t="shared" si="13"/>
        <v>185.23100830647849</v>
      </c>
      <c r="AP15" s="12">
        <f t="shared" si="14"/>
        <v>3915978.6</v>
      </c>
      <c r="AQ15" s="44">
        <f t="shared" si="19"/>
        <v>-2050.025373842097</v>
      </c>
      <c r="AR15" s="12">
        <f t="shared" si="20"/>
        <v>3592017.85</v>
      </c>
      <c r="AS15" s="12">
        <f t="shared" si="21"/>
        <v>2632.7227635647359</v>
      </c>
      <c r="AT15" s="34">
        <f>AF15</f>
        <v>3733842.21</v>
      </c>
      <c r="AU15" s="86" t="s">
        <v>81</v>
      </c>
    </row>
    <row r="16" spans="1:47" s="10" customFormat="1" ht="65.25" hidden="1" customHeight="1" x14ac:dyDescent="0.3">
      <c r="A16" s="9"/>
      <c r="B16" s="118" t="s">
        <v>21</v>
      </c>
      <c r="C16" s="118"/>
      <c r="D16" s="118"/>
      <c r="E16" s="118"/>
      <c r="F16" s="118"/>
      <c r="G16" s="118"/>
      <c r="H16" s="118"/>
      <c r="I16" s="118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-296127.37</v>
      </c>
      <c r="W16" s="12"/>
      <c r="X16" s="12"/>
      <c r="Y16" s="12">
        <f t="shared" si="22"/>
        <v>-296127.37</v>
      </c>
      <c r="Z16" s="12">
        <v>15443000</v>
      </c>
      <c r="AA16" s="12">
        <v>14460000</v>
      </c>
      <c r="AB16" s="12">
        <v>658400</v>
      </c>
      <c r="AC16" s="12">
        <v>234641.17</v>
      </c>
      <c r="AD16" s="12">
        <v>56500.46</v>
      </c>
      <c r="AE16" s="12">
        <v>572514.78</v>
      </c>
      <c r="AF16" s="12">
        <f t="shared" si="23"/>
        <v>629015.24</v>
      </c>
      <c r="AG16" s="12">
        <f t="shared" si="10"/>
        <v>-178140.71000000002</v>
      </c>
      <c r="AH16" s="44">
        <f t="shared" si="4"/>
        <v>-14813984.76</v>
      </c>
      <c r="AI16" s="44">
        <f t="shared" si="5"/>
        <v>4.0731414880528396</v>
      </c>
      <c r="AJ16" s="12">
        <f t="shared" si="11"/>
        <v>-13830984.76</v>
      </c>
      <c r="AK16" s="44">
        <f t="shared" si="18"/>
        <v>4.3500362378976485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-29384.760000000009</v>
      </c>
      <c r="AO16" s="44">
        <f t="shared" si="13"/>
        <v>95.536944106925887</v>
      </c>
      <c r="AP16" s="12">
        <f t="shared" si="14"/>
        <v>925142.61</v>
      </c>
      <c r="AQ16" s="44">
        <f t="shared" si="19"/>
        <v>-212.41374615254242</v>
      </c>
      <c r="AR16" s="12">
        <f t="shared" si="20"/>
        <v>-531663.64999999991</v>
      </c>
      <c r="AS16" s="12">
        <f t="shared" si="21"/>
        <v>54.193734840822337</v>
      </c>
      <c r="AT16" s="34">
        <v>11117000</v>
      </c>
      <c r="AU16" s="86" t="s">
        <v>77</v>
      </c>
    </row>
    <row r="17" spans="1:47" s="10" customFormat="1" ht="24" hidden="1" customHeight="1" x14ac:dyDescent="0.3">
      <c r="A17" s="9"/>
      <c r="B17" s="118" t="s">
        <v>19</v>
      </c>
      <c r="C17" s="118"/>
      <c r="D17" s="118"/>
      <c r="E17" s="118"/>
      <c r="F17" s="118"/>
      <c r="G17" s="118"/>
      <c r="H17" s="118"/>
      <c r="I17" s="118"/>
      <c r="J17" s="12">
        <f t="shared" ref="J17:AF17" si="31">J18+J19</f>
        <v>59077329.089999996</v>
      </c>
      <c r="K17" s="12">
        <f t="shared" si="31"/>
        <v>59077329.089999996</v>
      </c>
      <c r="L17" s="12">
        <f t="shared" si="31"/>
        <v>13651268.75</v>
      </c>
      <c r="M17" s="12">
        <f t="shared" si="31"/>
        <v>13651268.75</v>
      </c>
      <c r="N17" s="12">
        <f t="shared" si="31"/>
        <v>57000020</v>
      </c>
      <c r="O17" s="12">
        <f t="shared" si="31"/>
        <v>59153838.839999996</v>
      </c>
      <c r="P17" s="12">
        <f t="shared" si="31"/>
        <v>59153838.839999996</v>
      </c>
      <c r="Q17" s="12">
        <v>59153838.839999996</v>
      </c>
      <c r="R17" s="12">
        <f t="shared" si="31"/>
        <v>59153838.839999996</v>
      </c>
      <c r="S17" s="12">
        <f t="shared" si="31"/>
        <v>54189000</v>
      </c>
      <c r="T17" s="12">
        <f t="shared" si="31"/>
        <v>55922478.88000001</v>
      </c>
      <c r="U17" s="12">
        <f t="shared" ref="U17:X17" si="32">U18+U19</f>
        <v>55922478.88000001</v>
      </c>
      <c r="V17" s="12">
        <f t="shared" si="32"/>
        <v>-1458033.5</v>
      </c>
      <c r="W17" s="12"/>
      <c r="X17" s="12">
        <f t="shared" si="32"/>
        <v>0</v>
      </c>
      <c r="Y17" s="12">
        <f>Y18+Y19</f>
        <v>-1458033.5</v>
      </c>
      <c r="Z17" s="12">
        <f t="shared" ref="Z17:AB17" si="33">Z18+Z19</f>
        <v>57489000</v>
      </c>
      <c r="AA17" s="12">
        <f t="shared" si="33"/>
        <v>56779000</v>
      </c>
      <c r="AB17" s="12">
        <f t="shared" si="33"/>
        <v>1530169</v>
      </c>
      <c r="AC17" s="12">
        <f t="shared" ref="AC17:AD17" si="34">AC18+AC19</f>
        <v>423993.94999999995</v>
      </c>
      <c r="AD17" s="12">
        <f t="shared" si="34"/>
        <v>67433.710000000006</v>
      </c>
      <c r="AE17" s="12">
        <v>1352210.1099999999</v>
      </c>
      <c r="AF17" s="12">
        <f t="shared" si="31"/>
        <v>1419643.8199999998</v>
      </c>
      <c r="AG17" s="12">
        <f t="shared" si="10"/>
        <v>-356560.23999999993</v>
      </c>
      <c r="AH17" s="44">
        <f t="shared" si="4"/>
        <v>-56069356.18</v>
      </c>
      <c r="AI17" s="44">
        <f t="shared" si="5"/>
        <v>2.4694181843483101</v>
      </c>
      <c r="AJ17" s="12">
        <f t="shared" si="11"/>
        <v>-55359356.18</v>
      </c>
      <c r="AK17" s="44">
        <f t="shared" si="18"/>
        <v>2.5002973282375525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-110525.18000000017</v>
      </c>
      <c r="AO17" s="44">
        <f t="shared" si="13"/>
        <v>92.776929868530857</v>
      </c>
      <c r="AP17" s="12">
        <f t="shared" si="14"/>
        <v>2877677.32</v>
      </c>
      <c r="AQ17" s="44">
        <f t="shared" si="19"/>
        <v>-97.367023460023375</v>
      </c>
      <c r="AR17" s="12">
        <f t="shared" si="20"/>
        <v>-12231624.93</v>
      </c>
      <c r="AS17" s="12">
        <f t="shared" si="21"/>
        <v>10.399354418980286</v>
      </c>
      <c r="AT17" s="34">
        <f>AT18+AT19</f>
        <v>1419643.8199999998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v>15995.58</v>
      </c>
      <c r="W18" s="53"/>
      <c r="X18" s="53"/>
      <c r="Y18" s="13">
        <f>V18</f>
        <v>15995.58</v>
      </c>
      <c r="Z18" s="66">
        <v>23363753.050000001</v>
      </c>
      <c r="AA18" s="66">
        <v>22995495</v>
      </c>
      <c r="AB18" s="16">
        <v>525982</v>
      </c>
      <c r="AC18" s="13">
        <v>134908.53</v>
      </c>
      <c r="AD18" s="13">
        <v>13715.34</v>
      </c>
      <c r="AE18" s="13">
        <v>515870.56999999995</v>
      </c>
      <c r="AF18" s="13">
        <f t="shared" si="23"/>
        <v>529585.90999999992</v>
      </c>
      <c r="AG18" s="13">
        <f t="shared" si="10"/>
        <v>-121193.19</v>
      </c>
      <c r="AH18" s="44">
        <f t="shared" si="4"/>
        <v>-22834167.140000001</v>
      </c>
      <c r="AI18" s="44">
        <f t="shared" si="5"/>
        <v>2.2666987999173354</v>
      </c>
      <c r="AJ18" s="13">
        <f t="shared" si="11"/>
        <v>-22465909.09</v>
      </c>
      <c r="AK18" s="44">
        <f t="shared" si="18"/>
        <v>2.3029985221018285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3603.9099999999162</v>
      </c>
      <c r="AO18" s="44">
        <f t="shared" si="13"/>
        <v>100.68517743953214</v>
      </c>
      <c r="AP18" s="13">
        <f t="shared" si="14"/>
        <v>513590.3299999999</v>
      </c>
      <c r="AQ18" s="44">
        <f t="shared" si="19"/>
        <v>3310.8265533353583</v>
      </c>
      <c r="AR18" s="13">
        <f t="shared" si="20"/>
        <v>-9556030.5999999996</v>
      </c>
      <c r="AS18" s="13">
        <f t="shared" si="21"/>
        <v>5.2509027036166769</v>
      </c>
      <c r="AT18" s="31">
        <f>AF18</f>
        <v>529585.90999999992</v>
      </c>
      <c r="AU18" s="86" t="s">
        <v>85</v>
      </c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-1474029.08</v>
      </c>
      <c r="W19" s="53"/>
      <c r="X19" s="53"/>
      <c r="Y19" s="13">
        <f>V19</f>
        <v>-1474029.08</v>
      </c>
      <c r="Z19" s="66">
        <v>34125246.950000003</v>
      </c>
      <c r="AA19" s="66">
        <v>33783505</v>
      </c>
      <c r="AB19" s="16">
        <v>1004187</v>
      </c>
      <c r="AC19" s="13">
        <v>289085.42</v>
      </c>
      <c r="AD19" s="13">
        <v>53718.37</v>
      </c>
      <c r="AE19" s="13">
        <v>836339.54</v>
      </c>
      <c r="AF19" s="13">
        <f t="shared" si="23"/>
        <v>890057.91</v>
      </c>
      <c r="AG19" s="13">
        <f t="shared" si="10"/>
        <v>-235367.05</v>
      </c>
      <c r="AH19" s="44">
        <f t="shared" si="4"/>
        <v>-33235189.040000003</v>
      </c>
      <c r="AI19" s="44">
        <f t="shared" si="5"/>
        <v>2.6082094330455825</v>
      </c>
      <c r="AJ19" s="13">
        <f t="shared" si="11"/>
        <v>-32893447.09</v>
      </c>
      <c r="AK19" s="44">
        <f t="shared" si="18"/>
        <v>2.634593154262709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-114129.08999999997</v>
      </c>
      <c r="AO19" s="44">
        <f t="shared" si="13"/>
        <v>88.634677604868415</v>
      </c>
      <c r="AP19" s="13">
        <f t="shared" si="14"/>
        <v>2364086.9900000002</v>
      </c>
      <c r="AQ19" s="44">
        <f t="shared" si="19"/>
        <v>-60.38265608708344</v>
      </c>
      <c r="AR19" s="13">
        <f t="shared" si="20"/>
        <v>-2675594.33</v>
      </c>
      <c r="AS19" s="13">
        <f t="shared" si="21"/>
        <v>24.961994330664169</v>
      </c>
      <c r="AT19" s="31">
        <f>AF19</f>
        <v>890057.91</v>
      </c>
      <c r="AU19" s="86" t="s">
        <v>77</v>
      </c>
    </row>
    <row r="20" spans="1:47" s="10" customFormat="1" ht="30.75" hidden="1" customHeight="1" x14ac:dyDescent="0.3">
      <c r="A20" s="9"/>
      <c r="B20" s="118" t="s">
        <v>18</v>
      </c>
      <c r="C20" s="118"/>
      <c r="D20" s="118"/>
      <c r="E20" s="118"/>
      <c r="F20" s="118"/>
      <c r="G20" s="118"/>
      <c r="H20" s="118"/>
      <c r="I20" s="118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462942.34</v>
      </c>
      <c r="W20" s="12"/>
      <c r="X20" s="12"/>
      <c r="Y20" s="12">
        <f>V20</f>
        <v>462942.34</v>
      </c>
      <c r="Z20" s="12">
        <v>7706000</v>
      </c>
      <c r="AA20" s="12">
        <v>7743000</v>
      </c>
      <c r="AB20" s="12">
        <v>733244</v>
      </c>
      <c r="AC20" s="12">
        <f>96138.55+21960.38</f>
        <v>118098.93000000001</v>
      </c>
      <c r="AD20" s="12">
        <v>159966.64000000001</v>
      </c>
      <c r="AE20" s="12">
        <v>260784.41000000003</v>
      </c>
      <c r="AF20" s="12">
        <f t="shared" si="23"/>
        <v>420751.05000000005</v>
      </c>
      <c r="AG20" s="12">
        <f t="shared" si="10"/>
        <v>41867.710000000006</v>
      </c>
      <c r="AH20" s="44">
        <f t="shared" si="4"/>
        <v>-7285248.9500000002</v>
      </c>
      <c r="AI20" s="44">
        <f t="shared" si="5"/>
        <v>5.4600447703088504</v>
      </c>
      <c r="AJ20" s="12">
        <f t="shared" si="11"/>
        <v>-7322248.9500000002</v>
      </c>
      <c r="AK20" s="44">
        <f t="shared" si="18"/>
        <v>5.4339538938395977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-312492.94999999995</v>
      </c>
      <c r="AO20" s="44">
        <f t="shared" si="13"/>
        <v>57.382133368974038</v>
      </c>
      <c r="AP20" s="12">
        <f t="shared" si="14"/>
        <v>-42191.289999999979</v>
      </c>
      <c r="AQ20" s="44">
        <f t="shared" ref="AQ20:AQ63" si="35">AF20/Y20%</f>
        <v>90.886275383668732</v>
      </c>
      <c r="AR20" s="12">
        <f t="shared" si="20"/>
        <v>-2653268.41</v>
      </c>
      <c r="AS20" s="12">
        <f t="shared" si="21"/>
        <v>13.687325518752575</v>
      </c>
      <c r="AT20" s="34">
        <f>AF20</f>
        <v>420751.05000000005</v>
      </c>
      <c r="AU20" s="86" t="s">
        <v>71</v>
      </c>
    </row>
    <row r="21" spans="1:47" s="10" customFormat="1" ht="62.25" hidden="1" customHeight="1" x14ac:dyDescent="0.3">
      <c r="A21" s="9"/>
      <c r="B21" s="119" t="s">
        <v>58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3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70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6">S23+S36+S37+S45+S48+S50</f>
        <v>86476358.480000004</v>
      </c>
      <c r="T22" s="71">
        <f t="shared" si="36"/>
        <v>93832615.929999977</v>
      </c>
      <c r="U22" s="71">
        <f>U23+U36+U37+U45+U48+U50</f>
        <v>91729067.069999978</v>
      </c>
      <c r="V22" s="71">
        <f>V23+V36+V37+V45+V48+V50</f>
        <v>6576664.6500000004</v>
      </c>
      <c r="W22" s="71"/>
      <c r="X22" s="71">
        <f t="shared" ref="X22:AB22" si="37">X23+X36+X37+X45+X48+X50</f>
        <v>0</v>
      </c>
      <c r="Y22" s="71">
        <f t="shared" si="37"/>
        <v>6576664.6500000004</v>
      </c>
      <c r="Z22" s="71">
        <f t="shared" si="37"/>
        <v>76980199.650000006</v>
      </c>
      <c r="AA22" s="71">
        <f t="shared" si="37"/>
        <v>83709117.450000003</v>
      </c>
      <c r="AB22" s="71">
        <f t="shared" si="37"/>
        <v>5623683.79</v>
      </c>
      <c r="AC22" s="71">
        <f t="shared" ref="AC22:AD22" si="38">AC23+AC36+AC37+AC45+AC48+AC50</f>
        <v>1674147.15</v>
      </c>
      <c r="AD22" s="71">
        <f t="shared" si="38"/>
        <v>3120600.8</v>
      </c>
      <c r="AE22" s="71">
        <v>2314916.4499999997</v>
      </c>
      <c r="AF22" s="71">
        <f>AF23+AF36+AF37+AF45+AF48+AF50</f>
        <v>5435517.25</v>
      </c>
      <c r="AG22" s="71">
        <f t="shared" ref="AG22" si="39">AD22-AC22</f>
        <v>1446453.65</v>
      </c>
      <c r="AH22" s="72">
        <f t="shared" si="4"/>
        <v>-71544682.400000006</v>
      </c>
      <c r="AI22" s="72">
        <f t="shared" ref="AI22" si="40">AF22/Z22*100</f>
        <v>7.060929011243477</v>
      </c>
      <c r="AJ22" s="71">
        <f t="shared" si="11"/>
        <v>-78273600.200000003</v>
      </c>
      <c r="AK22" s="72">
        <f t="shared" ref="AK22" si="41">AF22/AA22%</f>
        <v>6.4933395734899122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-188166.54000000004</v>
      </c>
      <c r="AO22" s="72">
        <f t="shared" ref="AO22" si="42">AF22/AB22*100</f>
        <v>96.65403413444767</v>
      </c>
      <c r="AP22" s="71">
        <f t="shared" si="14"/>
        <v>-1141147.4000000004</v>
      </c>
      <c r="AQ22" s="72">
        <f t="shared" ref="AQ22" si="43">AF22/Y22%</f>
        <v>82.64853902806189</v>
      </c>
      <c r="AR22" s="12"/>
      <c r="AS22" s="12"/>
      <c r="AT22" s="34"/>
    </row>
    <row r="23" spans="1:47" s="10" customFormat="1" ht="83.25" hidden="1" customHeight="1" x14ac:dyDescent="0.3">
      <c r="A23" s="9"/>
      <c r="B23" s="118" t="s">
        <v>17</v>
      </c>
      <c r="C23" s="118"/>
      <c r="D23" s="118"/>
      <c r="E23" s="118"/>
      <c r="F23" s="118"/>
      <c r="G23" s="118"/>
      <c r="H23" s="118"/>
      <c r="I23" s="118"/>
      <c r="J23" s="60">
        <f t="shared" ref="J23:AF23" si="44">J24+J27+J29+J31</f>
        <v>39449619.330000006</v>
      </c>
      <c r="K23" s="60">
        <f t="shared" si="44"/>
        <v>39449619.330000006</v>
      </c>
      <c r="L23" s="60">
        <f t="shared" si="44"/>
        <v>10238465.989999998</v>
      </c>
      <c r="M23" s="60">
        <f t="shared" si="44"/>
        <v>10238465.989999998</v>
      </c>
      <c r="N23" s="12">
        <f t="shared" si="44"/>
        <v>42188190.339999996</v>
      </c>
      <c r="O23" s="12">
        <f t="shared" si="44"/>
        <v>49536681.379999995</v>
      </c>
      <c r="P23" s="12">
        <f t="shared" si="44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5">S24+S27+S29+S31</f>
        <v>42777461.119999997</v>
      </c>
      <c r="T23" s="12">
        <f t="shared" si="45"/>
        <v>47630236.639999993</v>
      </c>
      <c r="U23" s="12">
        <f>U24+U27+U29+U31</f>
        <v>46969616.779999994</v>
      </c>
      <c r="V23" s="12">
        <f t="shared" ref="V23:X23" si="46">V24+V27+V29+V31</f>
        <v>1343236.98</v>
      </c>
      <c r="W23" s="12"/>
      <c r="X23" s="12">
        <f t="shared" si="46"/>
        <v>0</v>
      </c>
      <c r="Y23" s="12">
        <f>Y24+Y27+Y29+Y31</f>
        <v>1343236.98</v>
      </c>
      <c r="Z23" s="12">
        <f t="shared" ref="Z23:AB23" si="47">Z24+Z27+Z29+Z31</f>
        <v>47029000</v>
      </c>
      <c r="AA23" s="12">
        <f t="shared" si="47"/>
        <v>49534190</v>
      </c>
      <c r="AB23" s="12">
        <f t="shared" si="47"/>
        <v>675712.49</v>
      </c>
      <c r="AC23" s="12">
        <f>AC24+AC27+AC29+AC31</f>
        <v>353712.94</v>
      </c>
      <c r="AD23" s="12">
        <f>AD24+AD27+AD29+AD31</f>
        <v>695637.82</v>
      </c>
      <c r="AE23" s="12">
        <v>604362.72</v>
      </c>
      <c r="AF23" s="12">
        <f t="shared" si="44"/>
        <v>1300000.54</v>
      </c>
      <c r="AG23" s="12">
        <f t="shared" si="10"/>
        <v>341924.87999999995</v>
      </c>
      <c r="AH23" s="44">
        <f t="shared" si="4"/>
        <v>-45728999.460000001</v>
      </c>
      <c r="AI23" s="44">
        <f t="shared" si="5"/>
        <v>2.7642529928342086</v>
      </c>
      <c r="AJ23" s="12">
        <f t="shared" si="11"/>
        <v>-48234189.460000001</v>
      </c>
      <c r="AK23" s="44">
        <f t="shared" si="18"/>
        <v>2.6244509903159816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624288.05000000005</v>
      </c>
      <c r="AO23" s="44">
        <f t="shared" si="13"/>
        <v>192.38959753430044</v>
      </c>
      <c r="AP23" s="12">
        <f t="shared" si="14"/>
        <v>-43236.439999999944</v>
      </c>
      <c r="AQ23" s="44">
        <f t="shared" si="35"/>
        <v>96.781175574841598</v>
      </c>
      <c r="AR23" s="12">
        <f>AF23-M23</f>
        <v>-8938465.4499999993</v>
      </c>
      <c r="AS23" s="12">
        <f>IF(M23=0,0,AF23/M23*100)</f>
        <v>12.697219888894706</v>
      </c>
      <c r="AT23" s="34">
        <f>AT24+AT27+AT29+AT31</f>
        <v>1182373.4200000002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72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8">U25+U26</f>
        <v>44043460.589999996</v>
      </c>
      <c r="V24" s="12">
        <f>V25+V26</f>
        <v>1096778.31</v>
      </c>
      <c r="W24" s="13"/>
      <c r="X24" s="13">
        <f t="shared" si="48"/>
        <v>0</v>
      </c>
      <c r="Y24" s="12">
        <f t="shared" si="48"/>
        <v>1096778.31</v>
      </c>
      <c r="Z24" s="12">
        <f t="shared" si="48"/>
        <v>46880510</v>
      </c>
      <c r="AA24" s="12">
        <f>AA25+AA26</f>
        <v>48200367.740000002</v>
      </c>
      <c r="AB24" s="12">
        <f>AB25+AB26</f>
        <v>432000</v>
      </c>
      <c r="AC24" s="12">
        <f>AC25+AC26</f>
        <v>254138.66</v>
      </c>
      <c r="AD24" s="12">
        <f>AD25+AD26</f>
        <v>575840</v>
      </c>
      <c r="AE24" s="12">
        <v>433590.47000000003</v>
      </c>
      <c r="AF24" s="12">
        <f t="shared" ref="AF24" si="49">AF25+AF26</f>
        <v>1009430.4700000001</v>
      </c>
      <c r="AG24" s="12">
        <f>AD24-AC24</f>
        <v>321701.33999999997</v>
      </c>
      <c r="AH24" s="44">
        <f t="shared" si="4"/>
        <v>-45871079.530000001</v>
      </c>
      <c r="AI24" s="44">
        <f t="shared" si="5"/>
        <v>2.1531985680189916</v>
      </c>
      <c r="AJ24" s="12">
        <f t="shared" si="11"/>
        <v>-47190937.270000003</v>
      </c>
      <c r="AK24" s="44">
        <f t="shared" si="18"/>
        <v>2.0942381092298281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577430.47000000009</v>
      </c>
      <c r="AO24" s="44">
        <v>0</v>
      </c>
      <c r="AP24" s="12">
        <f t="shared" si="14"/>
        <v>-87347.839999999967</v>
      </c>
      <c r="AQ24" s="44">
        <f t="shared" si="35"/>
        <v>92.035962126202151</v>
      </c>
      <c r="AR24" s="12">
        <f>AF24-M24</f>
        <v>-8858714.1399999987</v>
      </c>
      <c r="AS24" s="12">
        <f>IF(M24=0,0,AF24/M24*100)</f>
        <v>10.229181977907801</v>
      </c>
      <c r="AT24" s="31">
        <f>AF24</f>
        <v>1009430.4700000001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73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346503.22</v>
      </c>
      <c r="W25" s="13"/>
      <c r="X25" s="13"/>
      <c r="Y25" s="13">
        <f>V25</f>
        <v>346503.22</v>
      </c>
      <c r="Z25" s="13">
        <v>34696660</v>
      </c>
      <c r="AA25" s="13">
        <v>36508280</v>
      </c>
      <c r="AB25" s="13">
        <v>197000</v>
      </c>
      <c r="AC25" s="13">
        <v>25000</v>
      </c>
      <c r="AD25" s="13">
        <v>146113.07999999999</v>
      </c>
      <c r="AE25" s="13">
        <v>197063.58000000002</v>
      </c>
      <c r="AF25" s="13">
        <f t="shared" si="23"/>
        <v>343176.66000000003</v>
      </c>
      <c r="AG25" s="13">
        <f>AD25-AC25</f>
        <v>121113.07999999999</v>
      </c>
      <c r="AH25" s="44">
        <f t="shared" si="4"/>
        <v>-34353483.340000004</v>
      </c>
      <c r="AI25" s="44">
        <f t="shared" si="5"/>
        <v>0.98907693132422558</v>
      </c>
      <c r="AJ25" s="13">
        <f t="shared" si="11"/>
        <v>-36165103.340000004</v>
      </c>
      <c r="AK25" s="42">
        <f t="shared" si="18"/>
        <v>0.93999678976933465</v>
      </c>
      <c r="AL25" s="13"/>
      <c r="AM25" s="13"/>
      <c r="AN25" s="42">
        <f t="shared" si="12"/>
        <v>146176.66000000003</v>
      </c>
      <c r="AO25" s="42">
        <v>0</v>
      </c>
      <c r="AP25" s="13">
        <f t="shared" si="14"/>
        <v>-3326.5599999999395</v>
      </c>
      <c r="AQ25" s="42">
        <f t="shared" si="35"/>
        <v>99.03996274551217</v>
      </c>
      <c r="AR25" s="12"/>
      <c r="AS25" s="12"/>
      <c r="AT25" s="31"/>
    </row>
    <row r="26" spans="1:47" s="5" customFormat="1" ht="67.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93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620268.34+130006.75</f>
        <v>750275.09</v>
      </c>
      <c r="W26" s="16"/>
      <c r="X26" s="16"/>
      <c r="Y26" s="13">
        <f>V26</f>
        <v>750275.09</v>
      </c>
      <c r="Z26" s="13">
        <v>12183850</v>
      </c>
      <c r="AA26" s="13">
        <f>6966987.74+4725100</f>
        <v>11692087.74</v>
      </c>
      <c r="AB26" s="13">
        <f>130000+105000</f>
        <v>235000</v>
      </c>
      <c r="AC26" s="13">
        <v>229138.66</v>
      </c>
      <c r="AD26" s="13">
        <v>429726.92</v>
      </c>
      <c r="AE26" s="13">
        <v>236526.89</v>
      </c>
      <c r="AF26" s="13">
        <f t="shared" si="23"/>
        <v>666253.81000000006</v>
      </c>
      <c r="AG26" s="13">
        <f>AD26-AC26</f>
        <v>200588.25999999998</v>
      </c>
      <c r="AH26" s="44">
        <f t="shared" si="4"/>
        <v>-11517596.189999999</v>
      </c>
      <c r="AI26" s="44">
        <f t="shared" si="5"/>
        <v>5.4683356246178345</v>
      </c>
      <c r="AJ26" s="12">
        <f t="shared" si="11"/>
        <v>-11025833.93</v>
      </c>
      <c r="AK26" s="42">
        <f t="shared" si="18"/>
        <v>5.6983305703451732</v>
      </c>
      <c r="AL26" s="13"/>
      <c r="AM26" s="13"/>
      <c r="AN26" s="42">
        <f t="shared" si="12"/>
        <v>431253.81000000006</v>
      </c>
      <c r="AO26" s="42">
        <v>0</v>
      </c>
      <c r="AP26" s="13">
        <f t="shared" si="14"/>
        <v>-84021.279999999912</v>
      </c>
      <c r="AQ26" s="42">
        <f t="shared" si="35"/>
        <v>88.801270211436716</v>
      </c>
      <c r="AR26" s="12"/>
      <c r="AS26" s="12"/>
      <c r="AT26" s="31"/>
      <c r="AU26" s="108" t="s">
        <v>80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74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0">S28</f>
        <v>989651.62</v>
      </c>
      <c r="T27" s="12">
        <f t="shared" si="50"/>
        <v>1733380.9700000002</v>
      </c>
      <c r="U27" s="13">
        <f t="shared" ref="U27:AB27" si="51">U28</f>
        <v>1733380.9700000002</v>
      </c>
      <c r="V27" s="12">
        <f t="shared" si="51"/>
        <v>120806.67</v>
      </c>
      <c r="W27" s="13"/>
      <c r="X27" s="13"/>
      <c r="Y27" s="12">
        <f t="shared" si="51"/>
        <v>120806.67</v>
      </c>
      <c r="Z27" s="12">
        <f t="shared" si="51"/>
        <v>100490</v>
      </c>
      <c r="AA27" s="12">
        <f t="shared" si="51"/>
        <v>549832.26</v>
      </c>
      <c r="AB27" s="12">
        <f t="shared" si="51"/>
        <v>170254.17</v>
      </c>
      <c r="AC27" s="12">
        <f>AC28</f>
        <v>85074.28</v>
      </c>
      <c r="AD27" s="12">
        <f>AD28</f>
        <v>35051.699999999997</v>
      </c>
      <c r="AE27" s="12">
        <v>137891.25</v>
      </c>
      <c r="AF27" s="12">
        <f t="shared" ref="AF27" si="52">AF28</f>
        <v>172942.95</v>
      </c>
      <c r="AG27" s="12">
        <f t="shared" si="10"/>
        <v>-50022.58</v>
      </c>
      <c r="AH27" s="44">
        <f t="shared" si="4"/>
        <v>72452.950000000012</v>
      </c>
      <c r="AI27" s="44">
        <f t="shared" si="5"/>
        <v>172.09966165787642</v>
      </c>
      <c r="AJ27" s="12">
        <f t="shared" si="11"/>
        <v>-376889.31</v>
      </c>
      <c r="AK27" s="44">
        <f t="shared" si="18"/>
        <v>31.453765553880014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2688.7799999999988</v>
      </c>
      <c r="AO27" s="44">
        <f t="shared" si="13"/>
        <v>101.57927409355084</v>
      </c>
      <c r="AP27" s="12">
        <f t="shared" si="14"/>
        <v>52136.280000000013</v>
      </c>
      <c r="AQ27" s="44">
        <f t="shared" si="35"/>
        <v>143.15678927330751</v>
      </c>
      <c r="AR27" s="12">
        <f>AF27-M27</f>
        <v>-160782.89000000001</v>
      </c>
      <c r="AS27" s="12">
        <f>IF(M27=0,0,AF27/M27*100)</f>
        <v>51.821863719033566</v>
      </c>
      <c r="AT27" s="31">
        <f>AF27</f>
        <v>172942.95</v>
      </c>
    </row>
    <row r="28" spans="1:47" s="5" customFormat="1" ht="93.7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94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54176.66+66630.01</f>
        <v>120806.67</v>
      </c>
      <c r="W28" s="16"/>
      <c r="X28" s="16"/>
      <c r="Y28" s="16">
        <f>V28</f>
        <v>120806.67</v>
      </c>
      <c r="Z28" s="16">
        <v>100490</v>
      </c>
      <c r="AA28" s="16">
        <f>109952.06+439880.2</f>
        <v>549832.26</v>
      </c>
      <c r="AB28" s="16">
        <f>41757.79+128496.38</f>
        <v>170254.17</v>
      </c>
      <c r="AC28" s="13">
        <f>73207.61+11866.67</f>
        <v>85074.28</v>
      </c>
      <c r="AD28" s="13">
        <v>35051.699999999997</v>
      </c>
      <c r="AE28" s="13">
        <v>137891.25</v>
      </c>
      <c r="AF28" s="13">
        <f t="shared" si="23"/>
        <v>172942.95</v>
      </c>
      <c r="AG28" s="13">
        <f>AD28-AC28</f>
        <v>-50022.58</v>
      </c>
      <c r="AH28" s="44">
        <f t="shared" si="4"/>
        <v>72452.950000000012</v>
      </c>
      <c r="AI28" s="44">
        <f t="shared" si="5"/>
        <v>172.09966165787642</v>
      </c>
      <c r="AJ28" s="13">
        <f t="shared" si="11"/>
        <v>-376889.31</v>
      </c>
      <c r="AK28" s="42">
        <f t="shared" si="18"/>
        <v>31.453765553880014</v>
      </c>
      <c r="AL28" s="16"/>
      <c r="AM28" s="16"/>
      <c r="AN28" s="42">
        <f t="shared" si="12"/>
        <v>2688.7799999999988</v>
      </c>
      <c r="AO28" s="42">
        <f t="shared" si="13"/>
        <v>101.57927409355084</v>
      </c>
      <c r="AP28" s="13">
        <f t="shared" si="14"/>
        <v>52136.280000000013</v>
      </c>
      <c r="AQ28" s="42">
        <f t="shared" si="35"/>
        <v>143.15678927330751</v>
      </c>
      <c r="AR28" s="12"/>
      <c r="AS28" s="12"/>
      <c r="AT28" s="31"/>
      <c r="AU28" s="102" t="s">
        <v>78</v>
      </c>
    </row>
    <row r="29" spans="1:47" s="10" customFormat="1" ht="48" hidden="1" customHeight="1" x14ac:dyDescent="0.3">
      <c r="A29" s="9"/>
      <c r="B29" s="121" t="s">
        <v>16</v>
      </c>
      <c r="C29" s="121"/>
      <c r="D29" s="121"/>
      <c r="E29" s="121"/>
      <c r="F29" s="121"/>
      <c r="G29" s="121"/>
      <c r="H29" s="121"/>
      <c r="I29" s="121"/>
      <c r="J29" s="12">
        <f t="shared" ref="J29:AB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65907.5</v>
      </c>
      <c r="T29" s="12">
        <f t="shared" si="53"/>
        <v>65907.5</v>
      </c>
      <c r="U29" s="12">
        <f>U30</f>
        <v>65907.5</v>
      </c>
      <c r="V29" s="12">
        <f t="shared" ref="V29:X29" si="54">V30</f>
        <v>0</v>
      </c>
      <c r="W29" s="12"/>
      <c r="X29" s="12">
        <f t="shared" si="54"/>
        <v>0</v>
      </c>
      <c r="Y29" s="12">
        <f>Y30</f>
        <v>0</v>
      </c>
      <c r="Z29" s="12">
        <f t="shared" si="53"/>
        <v>0</v>
      </c>
      <c r="AA29" s="12">
        <f t="shared" si="53"/>
        <v>60000</v>
      </c>
      <c r="AB29" s="12">
        <f t="shared" si="53"/>
        <v>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f t="shared" si="18"/>
        <v>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0</v>
      </c>
      <c r="AO29" s="44">
        <v>0</v>
      </c>
      <c r="AP29" s="12">
        <f t="shared" si="14"/>
        <v>0</v>
      </c>
      <c r="AQ29" s="44">
        <v>0</v>
      </c>
      <c r="AR29" s="12">
        <f t="shared" ref="AR29:AR38" si="55">AF29-M29</f>
        <v>-13500</v>
      </c>
      <c r="AS29" s="12">
        <f t="shared" ref="AS29:AS38" si="56">IF(M29=0,0,AF29/M29*100)</f>
        <v>0</v>
      </c>
      <c r="AT29" s="34">
        <f t="shared" ref="AT29" si="57">AT30</f>
        <v>0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0</v>
      </c>
      <c r="AC30" s="13">
        <v>0</v>
      </c>
      <c r="AD30" s="13">
        <v>0</v>
      </c>
      <c r="AE30" s="13">
        <v>0</v>
      </c>
      <c r="AF30" s="13">
        <f t="shared" si="23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f t="shared" si="18"/>
        <v>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0</v>
      </c>
      <c r="AO30" s="42">
        <v>0</v>
      </c>
      <c r="AP30" s="13">
        <f t="shared" si="14"/>
        <v>0</v>
      </c>
      <c r="AQ30" s="42">
        <v>0</v>
      </c>
      <c r="AR30" s="12">
        <f t="shared" si="55"/>
        <v>-13500</v>
      </c>
      <c r="AS30" s="12">
        <f t="shared" si="56"/>
        <v>0</v>
      </c>
      <c r="AT30" s="31">
        <f>AF30</f>
        <v>0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86</v>
      </c>
      <c r="J31" s="12">
        <f t="shared" ref="J31:R31" si="58">J35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ref="S31:T31" si="59">S32+S33+S34+S35</f>
        <v>1027310</v>
      </c>
      <c r="T31" s="12">
        <f t="shared" si="59"/>
        <v>1126867.72</v>
      </c>
      <c r="U31" s="12">
        <f>U32+U33+U34+U35</f>
        <v>1126867.72</v>
      </c>
      <c r="V31" s="12">
        <f t="shared" ref="V31:Y31" si="60">V32+V33+V34+V35</f>
        <v>125652</v>
      </c>
      <c r="W31" s="12">
        <f t="shared" si="60"/>
        <v>0</v>
      </c>
      <c r="X31" s="12">
        <f t="shared" si="60"/>
        <v>0</v>
      </c>
      <c r="Y31" s="12">
        <f t="shared" si="60"/>
        <v>125652</v>
      </c>
      <c r="Z31" s="12">
        <f>Z32+Z33+Z34+Z35</f>
        <v>48000</v>
      </c>
      <c r="AA31" s="12">
        <f t="shared" ref="AA31" si="61">AA32+AA33+AA34+AA35</f>
        <v>723990</v>
      </c>
      <c r="AB31" s="12">
        <f t="shared" ref="AB31" si="62">AB32+AB33+AB34+AB35</f>
        <v>73458.320000000007</v>
      </c>
      <c r="AC31" s="12">
        <f t="shared" ref="AC31:AD31" si="63">AC32+AC33+AC34+AC35</f>
        <v>14500</v>
      </c>
      <c r="AD31" s="12">
        <f t="shared" si="63"/>
        <v>84746.12</v>
      </c>
      <c r="AE31" s="12">
        <v>32881</v>
      </c>
      <c r="AF31" s="12">
        <f t="shared" ref="AF31" si="64">AF32+AF33+AF34+AF35</f>
        <v>117627.12</v>
      </c>
      <c r="AG31" s="12">
        <f t="shared" si="10"/>
        <v>70246.12</v>
      </c>
      <c r="AH31" s="44">
        <f t="shared" si="4"/>
        <v>69627.12</v>
      </c>
      <c r="AI31" s="44">
        <v>0</v>
      </c>
      <c r="AJ31" s="12">
        <f t="shared" si="11"/>
        <v>-606362.88</v>
      </c>
      <c r="AK31" s="44">
        <f t="shared" si="18"/>
        <v>16.247064185969421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44168.799999999988</v>
      </c>
      <c r="AO31" s="44">
        <f t="shared" si="13"/>
        <v>160.12770234876049</v>
      </c>
      <c r="AP31" s="12">
        <f t="shared" si="14"/>
        <v>-8024.8800000000047</v>
      </c>
      <c r="AQ31" s="44">
        <f t="shared" si="35"/>
        <v>93.613408461464999</v>
      </c>
      <c r="AR31" s="12">
        <f t="shared" si="55"/>
        <v>94531.579999999987</v>
      </c>
      <c r="AS31" s="12">
        <f t="shared" si="56"/>
        <v>509.30664535230613</v>
      </c>
      <c r="AT31" s="34">
        <f t="shared" ref="AT31" si="65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95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120242.91</v>
      </c>
      <c r="W32" s="13"/>
      <c r="X32" s="13"/>
      <c r="Y32" s="13">
        <f>V32</f>
        <v>120242.91</v>
      </c>
      <c r="Z32" s="13"/>
      <c r="AA32" s="13">
        <v>649240</v>
      </c>
      <c r="AB32" s="13">
        <v>50000</v>
      </c>
      <c r="AC32" s="114">
        <v>14500</v>
      </c>
      <c r="AD32" s="114">
        <v>84746.12</v>
      </c>
      <c r="AE32" s="13">
        <v>14500</v>
      </c>
      <c r="AF32" s="13">
        <f t="shared" si="23"/>
        <v>99246.12</v>
      </c>
      <c r="AG32" s="13">
        <f t="shared" si="10"/>
        <v>70246.12</v>
      </c>
      <c r="AH32" s="44"/>
      <c r="AI32" s="44"/>
      <c r="AJ32" s="13">
        <f t="shared" si="11"/>
        <v>-549993.88</v>
      </c>
      <c r="AK32" s="42">
        <f t="shared" si="18"/>
        <v>15.286507300844065</v>
      </c>
      <c r="AL32" s="12"/>
      <c r="AM32" s="12"/>
      <c r="AN32" s="42">
        <f t="shared" si="12"/>
        <v>49246.119999999995</v>
      </c>
      <c r="AO32" s="42">
        <f t="shared" si="13"/>
        <v>198.49223999999998</v>
      </c>
      <c r="AP32" s="13">
        <f t="shared" si="14"/>
        <v>-20996.790000000008</v>
      </c>
      <c r="AQ32" s="42">
        <f t="shared" si="35"/>
        <v>82.538022408140307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96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1829.61</v>
      </c>
      <c r="W33" s="13"/>
      <c r="X33" s="13"/>
      <c r="Y33" s="13">
        <f t="shared" ref="Y33:Y35" si="66">V33</f>
        <v>1829.61</v>
      </c>
      <c r="Z33" s="13"/>
      <c r="AA33" s="13">
        <v>74750</v>
      </c>
      <c r="AB33" s="13">
        <v>0</v>
      </c>
      <c r="AC33" s="114">
        <v>0</v>
      </c>
      <c r="AD33" s="114">
        <v>0</v>
      </c>
      <c r="AE33" s="13">
        <v>0</v>
      </c>
      <c r="AF33" s="13">
        <f t="shared" si="23"/>
        <v>0</v>
      </c>
      <c r="AG33" s="13">
        <f t="shared" si="10"/>
        <v>0</v>
      </c>
      <c r="AH33" s="44"/>
      <c r="AI33" s="44"/>
      <c r="AJ33" s="13">
        <f t="shared" si="11"/>
        <v>-74750</v>
      </c>
      <c r="AK33" s="42">
        <f t="shared" si="18"/>
        <v>0</v>
      </c>
      <c r="AL33" s="12"/>
      <c r="AM33" s="12"/>
      <c r="AN33" s="42">
        <f t="shared" si="12"/>
        <v>0</v>
      </c>
      <c r="AO33" s="42">
        <v>0</v>
      </c>
      <c r="AP33" s="13">
        <f t="shared" si="14"/>
        <v>-1829.61</v>
      </c>
      <c r="AQ33" s="42">
        <f t="shared" si="35"/>
        <v>0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97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6"/>
        <v>0</v>
      </c>
      <c r="Z34" s="13"/>
      <c r="AA34" s="13">
        <v>0</v>
      </c>
      <c r="AB34" s="13">
        <v>23458.32</v>
      </c>
      <c r="AC34" s="114">
        <v>0</v>
      </c>
      <c r="AD34" s="114">
        <v>0</v>
      </c>
      <c r="AE34" s="13">
        <v>18381</v>
      </c>
      <c r="AF34" s="13">
        <f t="shared" si="23"/>
        <v>18381</v>
      </c>
      <c r="AG34" s="13">
        <f t="shared" si="10"/>
        <v>0</v>
      </c>
      <c r="AH34" s="44"/>
      <c r="AI34" s="44"/>
      <c r="AJ34" s="13">
        <f t="shared" si="11"/>
        <v>18381</v>
      </c>
      <c r="AK34" s="42">
        <v>0</v>
      </c>
      <c r="AL34" s="12"/>
      <c r="AM34" s="12"/>
      <c r="AN34" s="42">
        <f t="shared" si="12"/>
        <v>-5077.32</v>
      </c>
      <c r="AO34" s="42">
        <f t="shared" si="13"/>
        <v>78.35599480269687</v>
      </c>
      <c r="AP34" s="13">
        <f t="shared" si="14"/>
        <v>18381</v>
      </c>
      <c r="AQ34" s="42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98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3579.48</v>
      </c>
      <c r="W35" s="13"/>
      <c r="X35" s="13"/>
      <c r="Y35" s="13">
        <f t="shared" si="66"/>
        <v>3579.48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3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0</v>
      </c>
      <c r="AP35" s="13">
        <f t="shared" si="14"/>
        <v>-3579.48</v>
      </c>
      <c r="AQ35" s="42">
        <v>0</v>
      </c>
      <c r="AR35" s="12">
        <f t="shared" si="55"/>
        <v>-23095.54</v>
      </c>
      <c r="AS35" s="12">
        <f t="shared" si="56"/>
        <v>0</v>
      </c>
      <c r="AT35" s="31">
        <f>AF35</f>
        <v>0</v>
      </c>
    </row>
    <row r="36" spans="1:47" s="10" customFormat="1" ht="40.5" hidden="1" customHeight="1" x14ac:dyDescent="0.3">
      <c r="A36" s="9"/>
      <c r="B36" s="118" t="s">
        <v>14</v>
      </c>
      <c r="C36" s="118"/>
      <c r="D36" s="118"/>
      <c r="E36" s="118"/>
      <c r="F36" s="118"/>
      <c r="G36" s="118"/>
      <c r="H36" s="118"/>
      <c r="I36" s="118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8252.83</v>
      </c>
      <c r="W36" s="12"/>
      <c r="X36" s="12"/>
      <c r="Y36" s="12">
        <f>V36</f>
        <v>8252.83</v>
      </c>
      <c r="Z36" s="12">
        <v>763440</v>
      </c>
      <c r="AA36" s="12">
        <v>447000</v>
      </c>
      <c r="AB36" s="12">
        <v>123877</v>
      </c>
      <c r="AC36" s="12">
        <v>4671.62</v>
      </c>
      <c r="AD36" s="12">
        <v>1025.08</v>
      </c>
      <c r="AE36" s="12">
        <v>162424.22</v>
      </c>
      <c r="AF36" s="12">
        <f t="shared" si="23"/>
        <v>163449.29999999999</v>
      </c>
      <c r="AG36" s="12">
        <f t="shared" si="10"/>
        <v>-3646.54</v>
      </c>
      <c r="AH36" s="44">
        <f t="shared" si="4"/>
        <v>-599990.69999999995</v>
      </c>
      <c r="AI36" s="44">
        <v>0</v>
      </c>
      <c r="AJ36" s="12">
        <f t="shared" si="11"/>
        <v>-283550.7</v>
      </c>
      <c r="AK36" s="44">
        <f t="shared" si="18"/>
        <v>36.565838926174493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39572.299999999988</v>
      </c>
      <c r="AO36" s="44">
        <f t="shared" si="13"/>
        <v>131.94483237404845</v>
      </c>
      <c r="AP36" s="12">
        <f t="shared" si="14"/>
        <v>155196.47</v>
      </c>
      <c r="AQ36" s="44">
        <f t="shared" si="35"/>
        <v>1980.5242565277606</v>
      </c>
      <c r="AR36" s="12">
        <f t="shared" si="55"/>
        <v>221223.65999999997</v>
      </c>
      <c r="AS36" s="12">
        <f t="shared" si="56"/>
        <v>-282.90975443085824</v>
      </c>
      <c r="AT36" s="34">
        <v>745000</v>
      </c>
    </row>
    <row r="37" spans="1:47" s="10" customFormat="1" ht="57.75" hidden="1" customHeight="1" x14ac:dyDescent="0.3">
      <c r="A37" s="9"/>
      <c r="B37" s="118" t="s">
        <v>13</v>
      </c>
      <c r="C37" s="118"/>
      <c r="D37" s="118"/>
      <c r="E37" s="118"/>
      <c r="F37" s="118"/>
      <c r="G37" s="118"/>
      <c r="H37" s="118"/>
      <c r="I37" s="118"/>
      <c r="J37" s="12">
        <f t="shared" ref="J37:N37" si="67">J38+J44</f>
        <v>26875602.490000002</v>
      </c>
      <c r="K37" s="12">
        <f t="shared" si="67"/>
        <v>26875602.490000002</v>
      </c>
      <c r="L37" s="12">
        <f t="shared" si="67"/>
        <v>10496131.460000001</v>
      </c>
      <c r="M37" s="12">
        <f t="shared" si="67"/>
        <v>10496131.460000001</v>
      </c>
      <c r="N37" s="12">
        <f t="shared" si="67"/>
        <v>29133952.98</v>
      </c>
      <c r="O37" s="12">
        <f>O38+O44</f>
        <v>30359839.810000002</v>
      </c>
      <c r="P37" s="12">
        <f t="shared" ref="P37" si="68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9">U38+U44</f>
        <v>34239492.269999996</v>
      </c>
      <c r="V37" s="12">
        <f t="shared" si="69"/>
        <v>3713922.1</v>
      </c>
      <c r="W37" s="12"/>
      <c r="X37" s="12">
        <f t="shared" si="69"/>
        <v>0</v>
      </c>
      <c r="Y37" s="12">
        <f t="shared" si="69"/>
        <v>3713922.1</v>
      </c>
      <c r="Z37" s="12">
        <f>Z38+Z44</f>
        <v>25090600</v>
      </c>
      <c r="AA37" s="12">
        <f>AA38+AA44</f>
        <v>29480458</v>
      </c>
      <c r="AB37" s="12">
        <f>AB38+AB44</f>
        <v>4216065.0199999996</v>
      </c>
      <c r="AC37" s="12">
        <f t="shared" ref="AC37:AD37" si="70">AC38+AC44</f>
        <v>270580</v>
      </c>
      <c r="AD37" s="12">
        <f t="shared" si="70"/>
        <v>2066783.78</v>
      </c>
      <c r="AE37" s="12">
        <v>487395.17</v>
      </c>
      <c r="AF37" s="12">
        <f>AF38+AF44</f>
        <v>2554178.9500000002</v>
      </c>
      <c r="AG37" s="12">
        <f t="shared" si="10"/>
        <v>1796203.78</v>
      </c>
      <c r="AH37" s="44">
        <f t="shared" si="4"/>
        <v>-22536421.050000001</v>
      </c>
      <c r="AI37" s="44">
        <v>0</v>
      </c>
      <c r="AJ37" s="12">
        <f t="shared" si="11"/>
        <v>-26926279.050000001</v>
      </c>
      <c r="AK37" s="44">
        <f t="shared" si="18"/>
        <v>8.6639730970258331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-1661886.0699999994</v>
      </c>
      <c r="AO37" s="44">
        <f t="shared" si="13"/>
        <v>60.582057863993768</v>
      </c>
      <c r="AP37" s="12">
        <f t="shared" si="14"/>
        <v>-1159743.1499999999</v>
      </c>
      <c r="AQ37" s="44">
        <f t="shared" si="35"/>
        <v>68.773088967051848</v>
      </c>
      <c r="AR37" s="12">
        <f t="shared" si="55"/>
        <v>-7941952.5100000007</v>
      </c>
      <c r="AS37" s="12">
        <f t="shared" si="56"/>
        <v>24.334479419715652</v>
      </c>
      <c r="AT37" s="34">
        <f t="shared" ref="AT37" si="71">AT38+AT44</f>
        <v>2554178.9500000002</v>
      </c>
    </row>
    <row r="38" spans="1:47" s="5" customFormat="1" ht="39" hidden="1" customHeight="1" x14ac:dyDescent="0.3">
      <c r="A38" s="4"/>
      <c r="B38" s="117" t="s">
        <v>60</v>
      </c>
      <c r="C38" s="117"/>
      <c r="D38" s="117"/>
      <c r="E38" s="117"/>
      <c r="F38" s="117"/>
      <c r="G38" s="117"/>
      <c r="H38" s="117"/>
      <c r="I38" s="117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2">S39+S40+S43+S41+S42</f>
        <v>34618925.310000002</v>
      </c>
      <c r="T38" s="13">
        <f t="shared" si="72"/>
        <v>35367638.399999999</v>
      </c>
      <c r="U38" s="13">
        <f>U39+U40+U43</f>
        <v>33924709.399999999</v>
      </c>
      <c r="V38" s="13">
        <f t="shared" ref="V38:AB38" si="73">V39+V40+V43+V41+V42</f>
        <v>3687240.08</v>
      </c>
      <c r="W38" s="13"/>
      <c r="X38" s="13">
        <f t="shared" si="73"/>
        <v>0</v>
      </c>
      <c r="Y38" s="13">
        <f t="shared" si="73"/>
        <v>3687240.08</v>
      </c>
      <c r="Z38" s="13">
        <f t="shared" si="73"/>
        <v>25090600</v>
      </c>
      <c r="AA38" s="13">
        <f t="shared" si="73"/>
        <v>29480458</v>
      </c>
      <c r="AB38" s="13">
        <f t="shared" si="73"/>
        <v>4216065.0199999996</v>
      </c>
      <c r="AC38" s="13">
        <f t="shared" ref="AC38:AD38" si="74">AC39+AC40+AC43+AC41+AC42</f>
        <v>270390</v>
      </c>
      <c r="AD38" s="13">
        <f t="shared" si="74"/>
        <v>2066973.78</v>
      </c>
      <c r="AE38" s="13">
        <v>487186.70999999996</v>
      </c>
      <c r="AF38" s="13">
        <f>AF39+AF40+AF43+AF41+AF42</f>
        <v>2554160.4900000002</v>
      </c>
      <c r="AG38" s="13">
        <f t="shared" si="10"/>
        <v>1796583.78</v>
      </c>
      <c r="AH38" s="44">
        <f t="shared" si="4"/>
        <v>-22536439.509999998</v>
      </c>
      <c r="AI38" s="44">
        <v>0</v>
      </c>
      <c r="AJ38" s="12">
        <f t="shared" si="11"/>
        <v>-26926297.509999998</v>
      </c>
      <c r="AK38" s="42">
        <f t="shared" si="18"/>
        <v>8.6639104792741009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-1661904.5299999993</v>
      </c>
      <c r="AO38" s="42">
        <f t="shared" si="13"/>
        <v>60.581620014958894</v>
      </c>
      <c r="AP38" s="13">
        <f t="shared" si="14"/>
        <v>-1133079.5899999999</v>
      </c>
      <c r="AQ38" s="42">
        <f t="shared" si="35"/>
        <v>69.270251857318712</v>
      </c>
      <c r="AR38" s="12">
        <f t="shared" si="55"/>
        <v>-7317523.4900000002</v>
      </c>
      <c r="AS38" s="12">
        <f t="shared" si="56"/>
        <v>25.873604697787339</v>
      </c>
      <c r="AT38" s="31">
        <f>AF38</f>
        <v>2554160.4900000002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99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60717.1</v>
      </c>
      <c r="W39" s="31"/>
      <c r="X39" s="31"/>
      <c r="Y39" s="31">
        <f>V39</f>
        <v>60717.1</v>
      </c>
      <c r="Z39" s="31">
        <v>360000</v>
      </c>
      <c r="AA39" s="31">
        <v>380458</v>
      </c>
      <c r="AB39" s="31">
        <v>32000</v>
      </c>
      <c r="AC39" s="31">
        <f>16640+5550</f>
        <v>22190</v>
      </c>
      <c r="AD39" s="31">
        <v>13770</v>
      </c>
      <c r="AE39" s="31">
        <v>28891</v>
      </c>
      <c r="AF39" s="31">
        <f t="shared" si="23"/>
        <v>42661</v>
      </c>
      <c r="AG39" s="31">
        <f t="shared" si="10"/>
        <v>-8420</v>
      </c>
      <c r="AH39" s="103">
        <f t="shared" si="4"/>
        <v>-317339</v>
      </c>
      <c r="AI39" s="103">
        <f>AF39/Z39*100</f>
        <v>11.850277777777778</v>
      </c>
      <c r="AJ39" s="31">
        <f t="shared" si="11"/>
        <v>-337797</v>
      </c>
      <c r="AK39" s="103">
        <f t="shared" si="18"/>
        <v>11.213064254135805</v>
      </c>
      <c r="AL39" s="31"/>
      <c r="AM39" s="31"/>
      <c r="AN39" s="103">
        <f t="shared" si="12"/>
        <v>10661</v>
      </c>
      <c r="AO39" s="103">
        <f t="shared" si="13"/>
        <v>133.31562500000001</v>
      </c>
      <c r="AP39" s="31">
        <f t="shared" si="14"/>
        <v>-18056.099999999999</v>
      </c>
      <c r="AQ39" s="103">
        <f t="shared" si="35"/>
        <v>70.261919623960964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100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5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6">T40</f>
        <v>33218079.799999997</v>
      </c>
      <c r="V40" s="31">
        <v>3480942.98</v>
      </c>
      <c r="W40" s="31"/>
      <c r="X40" s="31"/>
      <c r="Y40" s="31">
        <f>V40</f>
        <v>3480942.98</v>
      </c>
      <c r="Z40" s="31">
        <v>22830600</v>
      </c>
      <c r="AA40" s="31">
        <v>27500000</v>
      </c>
      <c r="AB40" s="31">
        <v>4013400</v>
      </c>
      <c r="AC40" s="31">
        <v>171550</v>
      </c>
      <c r="AD40" s="31">
        <v>1957473.78</v>
      </c>
      <c r="AE40" s="31">
        <v>318735.70999999996</v>
      </c>
      <c r="AF40" s="31">
        <f t="shared" si="23"/>
        <v>2276209.4900000002</v>
      </c>
      <c r="AG40" s="31">
        <f t="shared" si="10"/>
        <v>1785923.78</v>
      </c>
      <c r="AH40" s="103">
        <f t="shared" si="4"/>
        <v>-20554390.509999998</v>
      </c>
      <c r="AI40" s="103">
        <f>AF40/Z40*100</f>
        <v>9.969994174485123</v>
      </c>
      <c r="AJ40" s="31">
        <f t="shared" si="11"/>
        <v>-25223790.509999998</v>
      </c>
      <c r="AK40" s="103">
        <f t="shared" si="18"/>
        <v>8.2771254181818197</v>
      </c>
      <c r="AL40" s="31"/>
      <c r="AM40" s="31"/>
      <c r="AN40" s="103">
        <f t="shared" si="12"/>
        <v>-1737190.5099999998</v>
      </c>
      <c r="AO40" s="103">
        <f t="shared" si="13"/>
        <v>56.715241192006779</v>
      </c>
      <c r="AP40" s="31">
        <f t="shared" si="14"/>
        <v>-1204733.4899999998</v>
      </c>
      <c r="AQ40" s="103">
        <f t="shared" si="35"/>
        <v>65.390599704681179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101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143180</v>
      </c>
      <c r="W41" s="31"/>
      <c r="X41" s="31"/>
      <c r="Y41" s="31">
        <f t="shared" ref="Y41:Y42" si="77">V41</f>
        <v>143180</v>
      </c>
      <c r="Z41" s="31">
        <v>1400000</v>
      </c>
      <c r="AA41" s="31">
        <v>1400000</v>
      </c>
      <c r="AB41" s="31">
        <v>120665.02</v>
      </c>
      <c r="AC41" s="31">
        <f>62040+14610</f>
        <v>76650</v>
      </c>
      <c r="AD41" s="31">
        <v>95730</v>
      </c>
      <c r="AE41" s="31">
        <v>139560</v>
      </c>
      <c r="AF41" s="31">
        <f t="shared" si="23"/>
        <v>235290</v>
      </c>
      <c r="AG41" s="31">
        <f t="shared" si="10"/>
        <v>19080</v>
      </c>
      <c r="AH41" s="103">
        <f t="shared" si="4"/>
        <v>-1164710</v>
      </c>
      <c r="AI41" s="103">
        <f t="shared" ref="AI41:AI42" si="78">AF41/Z41*100</f>
        <v>16.806428571428572</v>
      </c>
      <c r="AJ41" s="31">
        <f t="shared" si="11"/>
        <v>-1164710</v>
      </c>
      <c r="AK41" s="103">
        <f t="shared" si="18"/>
        <v>16.806428571428572</v>
      </c>
      <c r="AL41" s="31"/>
      <c r="AM41" s="31"/>
      <c r="AN41" s="103">
        <f t="shared" si="12"/>
        <v>114624.98</v>
      </c>
      <c r="AO41" s="103">
        <f t="shared" si="13"/>
        <v>194.99437368012701</v>
      </c>
      <c r="AP41" s="31">
        <f t="shared" si="14"/>
        <v>92110</v>
      </c>
      <c r="AQ41" s="103">
        <v>0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102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7"/>
        <v>0</v>
      </c>
      <c r="Z42" s="31">
        <v>500000</v>
      </c>
      <c r="AA42" s="31">
        <v>200000</v>
      </c>
      <c r="AB42" s="31">
        <v>50000</v>
      </c>
      <c r="AC42" s="31">
        <v>0</v>
      </c>
      <c r="AD42" s="31">
        <v>0</v>
      </c>
      <c r="AE42" s="31">
        <v>0</v>
      </c>
      <c r="AF42" s="31">
        <f t="shared" si="23"/>
        <v>0</v>
      </c>
      <c r="AG42" s="31">
        <f t="shared" si="10"/>
        <v>0</v>
      </c>
      <c r="AH42" s="103">
        <f t="shared" si="4"/>
        <v>-500000</v>
      </c>
      <c r="AI42" s="103">
        <f t="shared" si="78"/>
        <v>0</v>
      </c>
      <c r="AJ42" s="31">
        <f t="shared" si="11"/>
        <v>-200000</v>
      </c>
      <c r="AK42" s="103">
        <f t="shared" si="18"/>
        <v>0</v>
      </c>
      <c r="AL42" s="31"/>
      <c r="AM42" s="31"/>
      <c r="AN42" s="103">
        <f t="shared" si="12"/>
        <v>-50000</v>
      </c>
      <c r="AO42" s="103">
        <f t="shared" si="13"/>
        <v>0</v>
      </c>
      <c r="AP42" s="31">
        <f t="shared" si="14"/>
        <v>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103</v>
      </c>
      <c r="J43" s="31"/>
      <c r="K43" s="31"/>
      <c r="L43" s="31"/>
      <c r="M43" s="31"/>
      <c r="N43" s="31"/>
      <c r="O43" s="31">
        <v>0</v>
      </c>
      <c r="P43" s="31">
        <f t="shared" si="75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6"/>
        <v>68665.72</v>
      </c>
      <c r="V43" s="31">
        <v>2400</v>
      </c>
      <c r="W43" s="31"/>
      <c r="X43" s="31"/>
      <c r="Y43" s="31">
        <f>V43</f>
        <v>2400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f t="shared" si="23"/>
        <v>0</v>
      </c>
      <c r="AG43" s="31">
        <f t="shared" si="10"/>
        <v>0</v>
      </c>
      <c r="AH43" s="103">
        <f t="shared" si="4"/>
        <v>0</v>
      </c>
      <c r="AI43" s="103">
        <v>0</v>
      </c>
      <c r="AJ43" s="31">
        <f t="shared" si="11"/>
        <v>0</v>
      </c>
      <c r="AK43" s="103">
        <v>100</v>
      </c>
      <c r="AL43" s="31"/>
      <c r="AM43" s="31"/>
      <c r="AN43" s="103">
        <f t="shared" si="12"/>
        <v>0</v>
      </c>
      <c r="AO43" s="103">
        <v>0</v>
      </c>
      <c r="AP43" s="31">
        <f t="shared" si="14"/>
        <v>-2400</v>
      </c>
      <c r="AQ43" s="103">
        <f t="shared" si="35"/>
        <v>0</v>
      </c>
      <c r="AR43" s="12"/>
      <c r="AS43" s="12"/>
      <c r="AT43" s="31"/>
    </row>
    <row r="44" spans="1:47" s="5" customFormat="1" ht="28.5" hidden="1" customHeight="1" x14ac:dyDescent="0.3">
      <c r="A44" s="4"/>
      <c r="B44" s="117" t="s">
        <v>12</v>
      </c>
      <c r="C44" s="117"/>
      <c r="D44" s="117"/>
      <c r="E44" s="117"/>
      <c r="F44" s="117"/>
      <c r="G44" s="117"/>
      <c r="H44" s="117"/>
      <c r="I44" s="117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26682.02</v>
      </c>
      <c r="W44" s="13"/>
      <c r="X44" s="13"/>
      <c r="Y44" s="13">
        <f>V44</f>
        <v>26682.02</v>
      </c>
      <c r="Z44" s="13"/>
      <c r="AA44" s="13">
        <v>0</v>
      </c>
      <c r="AB44" s="13">
        <v>0</v>
      </c>
      <c r="AC44" s="13">
        <v>190</v>
      </c>
      <c r="AD44" s="13">
        <v>-190</v>
      </c>
      <c r="AE44" s="13">
        <v>208.46</v>
      </c>
      <c r="AF44" s="13">
        <f t="shared" si="23"/>
        <v>18.460000000000008</v>
      </c>
      <c r="AG44" s="13">
        <f t="shared" si="10"/>
        <v>-380</v>
      </c>
      <c r="AH44" s="44">
        <f t="shared" si="4"/>
        <v>18.460000000000008</v>
      </c>
      <c r="AI44" s="44">
        <v>0</v>
      </c>
      <c r="AJ44" s="13">
        <f t="shared" si="11"/>
        <v>18.460000000000008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18.460000000000008</v>
      </c>
      <c r="AO44" s="115">
        <v>0</v>
      </c>
      <c r="AP44" s="13">
        <f t="shared" si="14"/>
        <v>-26663.56</v>
      </c>
      <c r="AQ44" s="42">
        <v>0</v>
      </c>
      <c r="AR44" s="12">
        <f t="shared" ref="AR44:AR59" si="79">AF44-M44</f>
        <v>-624429.02</v>
      </c>
      <c r="AS44" s="12">
        <f t="shared" ref="AS44:AS59" si="80">IF(M44=0,0,AF44/M44*100)</f>
        <v>2.9562133872331441E-3</v>
      </c>
      <c r="AT44" s="31">
        <f>AF44</f>
        <v>18.460000000000008</v>
      </c>
    </row>
    <row r="45" spans="1:47" s="10" customFormat="1" ht="60" hidden="1" customHeight="1" x14ac:dyDescent="0.3">
      <c r="A45" s="9"/>
      <c r="B45" s="118" t="s">
        <v>11</v>
      </c>
      <c r="C45" s="118"/>
      <c r="D45" s="118"/>
      <c r="E45" s="118"/>
      <c r="F45" s="118"/>
      <c r="G45" s="118"/>
      <c r="H45" s="118"/>
      <c r="I45" s="118"/>
      <c r="J45" s="12">
        <f t="shared" ref="J45:AF45" si="81">J46+J47</f>
        <v>4290634.29</v>
      </c>
      <c r="K45" s="12">
        <f t="shared" si="81"/>
        <v>4290634.29</v>
      </c>
      <c r="L45" s="12">
        <f t="shared" si="81"/>
        <v>3198289.13</v>
      </c>
      <c r="M45" s="12">
        <f t="shared" si="81"/>
        <v>3198289.13</v>
      </c>
      <c r="N45" s="12">
        <f t="shared" si="81"/>
        <v>3516712.9</v>
      </c>
      <c r="O45" s="12">
        <f t="shared" si="81"/>
        <v>4112775.06</v>
      </c>
      <c r="P45" s="12">
        <f t="shared" si="81"/>
        <v>4112775.06</v>
      </c>
      <c r="Q45" s="12">
        <v>4112775.06</v>
      </c>
      <c r="R45" s="12">
        <f t="shared" si="81"/>
        <v>4112775.06</v>
      </c>
      <c r="S45" s="12">
        <f t="shared" si="81"/>
        <v>1171237.6000000001</v>
      </c>
      <c r="T45" s="12">
        <f t="shared" si="81"/>
        <v>2218931.5799999996</v>
      </c>
      <c r="U45" s="12">
        <f t="shared" si="81"/>
        <v>2218931.5799999996</v>
      </c>
      <c r="V45" s="12">
        <f t="shared" si="81"/>
        <v>115228.8</v>
      </c>
      <c r="W45" s="12"/>
      <c r="X45" s="12">
        <f t="shared" si="81"/>
        <v>0</v>
      </c>
      <c r="Y45" s="12">
        <f t="shared" si="81"/>
        <v>115228.8</v>
      </c>
      <c r="Z45" s="12">
        <f t="shared" si="81"/>
        <v>132000</v>
      </c>
      <c r="AA45" s="12">
        <f t="shared" si="81"/>
        <v>132000</v>
      </c>
      <c r="AB45" s="12">
        <f t="shared" si="81"/>
        <v>0</v>
      </c>
      <c r="AC45" s="12">
        <f t="shared" ref="AC45:AD45" si="82">AC46+AC47</f>
        <v>264845.15999999997</v>
      </c>
      <c r="AD45" s="12">
        <f t="shared" si="82"/>
        <v>0</v>
      </c>
      <c r="AE45" s="12">
        <v>264845.15999999997</v>
      </c>
      <c r="AF45" s="12">
        <f t="shared" si="81"/>
        <v>264845.15999999997</v>
      </c>
      <c r="AG45" s="12">
        <f t="shared" si="10"/>
        <v>-264845.15999999997</v>
      </c>
      <c r="AH45" s="44">
        <f t="shared" si="4"/>
        <v>132845.15999999997</v>
      </c>
      <c r="AI45" s="44">
        <f t="shared" ref="AI45:AI58" si="83">AF45/Z45*100</f>
        <v>200.6402727272727</v>
      </c>
      <c r="AJ45" s="12">
        <f t="shared" si="11"/>
        <v>132845.15999999997</v>
      </c>
      <c r="AK45" s="44">
        <f t="shared" si="18"/>
        <v>200.6402727272727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264845.15999999997</v>
      </c>
      <c r="AO45" s="44">
        <v>0</v>
      </c>
      <c r="AP45" s="12">
        <f t="shared" si="14"/>
        <v>149616.35999999999</v>
      </c>
      <c r="AQ45" s="44">
        <v>0</v>
      </c>
      <c r="AR45" s="12">
        <f t="shared" si="79"/>
        <v>-2933443.9699999997</v>
      </c>
      <c r="AS45" s="12">
        <f t="shared" si="80"/>
        <v>8.2808385744662178</v>
      </c>
      <c r="AT45" s="34">
        <f t="shared" ref="AT45" si="84">AT46+AT47</f>
        <v>264845.15999999997</v>
      </c>
    </row>
    <row r="46" spans="1:47" s="5" customFormat="1" ht="63" hidden="1" customHeight="1" x14ac:dyDescent="0.3">
      <c r="A46" s="4"/>
      <c r="B46" s="117" t="s">
        <v>37</v>
      </c>
      <c r="C46" s="117"/>
      <c r="D46" s="117"/>
      <c r="E46" s="117"/>
      <c r="F46" s="117"/>
      <c r="G46" s="117"/>
      <c r="H46" s="117"/>
      <c r="I46" s="117"/>
      <c r="J46" s="13">
        <v>163530</v>
      </c>
      <c r="K46" s="13">
        <f t="shared" ref="K46:K49" si="85">J46</f>
        <v>163530</v>
      </c>
      <c r="L46" s="13">
        <v>0</v>
      </c>
      <c r="M46" s="13">
        <f t="shared" ref="M46:M49" si="86">L46</f>
        <v>0</v>
      </c>
      <c r="N46" s="13">
        <v>762433</v>
      </c>
      <c r="O46" s="13">
        <v>763713</v>
      </c>
      <c r="P46" s="13">
        <f t="shared" ref="P46:P49" si="87">O46</f>
        <v>763713</v>
      </c>
      <c r="Q46" s="13">
        <v>763713</v>
      </c>
      <c r="R46" s="13">
        <f t="shared" ref="R46:R48" si="88">Q46</f>
        <v>763713</v>
      </c>
      <c r="S46" s="13">
        <v>5228.8</v>
      </c>
      <c r="T46" s="13">
        <v>5228.8</v>
      </c>
      <c r="U46" s="13">
        <f t="shared" ref="U46:U49" si="89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3"/>
        <v>0</v>
      </c>
      <c r="AG46" s="13">
        <f t="shared" si="10"/>
        <v>0</v>
      </c>
      <c r="AH46" s="44">
        <f t="shared" si="4"/>
        <v>-132000</v>
      </c>
      <c r="AI46" s="44">
        <f t="shared" si="83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-5228.8</v>
      </c>
      <c r="AQ46" s="42">
        <v>0</v>
      </c>
      <c r="AR46" s="12">
        <f t="shared" si="79"/>
        <v>0</v>
      </c>
      <c r="AS46" s="12">
        <f t="shared" si="80"/>
        <v>0</v>
      </c>
      <c r="AT46" s="31">
        <f>AF46</f>
        <v>0</v>
      </c>
    </row>
    <row r="47" spans="1:47" s="5" customFormat="1" ht="65.25" hidden="1" customHeight="1" x14ac:dyDescent="0.3">
      <c r="A47" s="4"/>
      <c r="B47" s="117" t="s">
        <v>10</v>
      </c>
      <c r="C47" s="117"/>
      <c r="D47" s="117"/>
      <c r="E47" s="117"/>
      <c r="F47" s="117"/>
      <c r="G47" s="117"/>
      <c r="H47" s="117"/>
      <c r="I47" s="117"/>
      <c r="J47" s="13">
        <v>4127104.29</v>
      </c>
      <c r="K47" s="13">
        <f t="shared" si="85"/>
        <v>4127104.29</v>
      </c>
      <c r="L47" s="13">
        <v>3198289.13</v>
      </c>
      <c r="M47" s="13">
        <f t="shared" si="86"/>
        <v>3198289.13</v>
      </c>
      <c r="N47" s="13">
        <v>2754279.9</v>
      </c>
      <c r="O47" s="13">
        <v>3349062.06</v>
      </c>
      <c r="P47" s="13">
        <f t="shared" si="87"/>
        <v>3349062.06</v>
      </c>
      <c r="Q47" s="13">
        <v>3349062.06</v>
      </c>
      <c r="R47" s="13">
        <f t="shared" si="88"/>
        <v>3349062.06</v>
      </c>
      <c r="S47" s="13">
        <v>1166008.8</v>
      </c>
      <c r="T47" s="13">
        <v>2213702.7799999998</v>
      </c>
      <c r="U47" s="13">
        <f t="shared" si="89"/>
        <v>2213702.7799999998</v>
      </c>
      <c r="V47" s="13">
        <v>110000</v>
      </c>
      <c r="W47" s="13"/>
      <c r="X47" s="13"/>
      <c r="Y47" s="13">
        <f>V47</f>
        <v>110000</v>
      </c>
      <c r="Z47" s="13">
        <v>0</v>
      </c>
      <c r="AA47" s="13">
        <v>132000</v>
      </c>
      <c r="AB47" s="13">
        <v>0</v>
      </c>
      <c r="AC47" s="13">
        <v>264845.15999999997</v>
      </c>
      <c r="AD47" s="13">
        <v>0</v>
      </c>
      <c r="AE47" s="13">
        <v>264845.15999999997</v>
      </c>
      <c r="AF47" s="13">
        <f t="shared" si="23"/>
        <v>264845.15999999997</v>
      </c>
      <c r="AG47" s="13">
        <f t="shared" si="10"/>
        <v>-264845.15999999997</v>
      </c>
      <c r="AH47" s="44">
        <f t="shared" si="4"/>
        <v>264845.15999999997</v>
      </c>
      <c r="AI47" s="44">
        <v>0</v>
      </c>
      <c r="AJ47" s="13">
        <f t="shared" si="11"/>
        <v>132845.15999999997</v>
      </c>
      <c r="AK47" s="42">
        <f>AF47/AA47%</f>
        <v>200.6402727272727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264845.15999999997</v>
      </c>
      <c r="AO47" s="42">
        <v>0</v>
      </c>
      <c r="AP47" s="13">
        <f t="shared" si="14"/>
        <v>154845.15999999997</v>
      </c>
      <c r="AQ47" s="42">
        <f t="shared" si="35"/>
        <v>240.76832727272725</v>
      </c>
      <c r="AR47" s="12">
        <f t="shared" si="79"/>
        <v>-2933443.9699999997</v>
      </c>
      <c r="AS47" s="12">
        <f t="shared" si="80"/>
        <v>8.2808385744662178</v>
      </c>
      <c r="AT47" s="31">
        <f>AF47</f>
        <v>264845.15999999997</v>
      </c>
      <c r="AU47" s="86" t="s">
        <v>79</v>
      </c>
    </row>
    <row r="48" spans="1:47" s="10" customFormat="1" ht="39.75" hidden="1" customHeight="1" x14ac:dyDescent="0.3">
      <c r="A48" s="9"/>
      <c r="B48" s="118" t="s">
        <v>9</v>
      </c>
      <c r="C48" s="118"/>
      <c r="D48" s="118"/>
      <c r="E48" s="118"/>
      <c r="F48" s="118"/>
      <c r="G48" s="118"/>
      <c r="H48" s="118"/>
      <c r="I48" s="118"/>
      <c r="J48" s="12">
        <v>2338187.02</v>
      </c>
      <c r="K48" s="12">
        <f t="shared" si="85"/>
        <v>2338187.02</v>
      </c>
      <c r="L48" s="12">
        <v>974257.27</v>
      </c>
      <c r="M48" s="12">
        <f t="shared" si="86"/>
        <v>974257.27</v>
      </c>
      <c r="N48" s="12">
        <v>2799320.03</v>
      </c>
      <c r="O48" s="12">
        <v>3055345.14</v>
      </c>
      <c r="P48" s="12">
        <f t="shared" si="87"/>
        <v>3055345.14</v>
      </c>
      <c r="Q48" s="12">
        <v>3055345.14</v>
      </c>
      <c r="R48" s="12">
        <f t="shared" si="88"/>
        <v>3055345.14</v>
      </c>
      <c r="S48" s="12">
        <v>2239812</v>
      </c>
      <c r="T48" s="12">
        <v>2273274.8299999996</v>
      </c>
      <c r="U48" s="12">
        <f t="shared" si="89"/>
        <v>2273274.8299999996</v>
      </c>
      <c r="V48" s="12">
        <v>61642.48</v>
      </c>
      <c r="W48" s="12"/>
      <c r="X48" s="12"/>
      <c r="Y48" s="12">
        <f>V48</f>
        <v>61642.48</v>
      </c>
      <c r="Z48" s="12">
        <v>1249470</v>
      </c>
      <c r="AA48" s="12">
        <v>1147080</v>
      </c>
      <c r="AB48" s="12">
        <v>129417</v>
      </c>
      <c r="AC48" s="12">
        <f>69000.85+500+1000</f>
        <v>70500.850000000006</v>
      </c>
      <c r="AD48" s="12">
        <v>69233.97</v>
      </c>
      <c r="AE48" s="12">
        <v>84447.88</v>
      </c>
      <c r="AF48" s="12">
        <f t="shared" si="23"/>
        <v>153681.85</v>
      </c>
      <c r="AG48" s="12">
        <f t="shared" si="10"/>
        <v>-1266.8800000000047</v>
      </c>
      <c r="AH48" s="44">
        <f t="shared" si="4"/>
        <v>-1095788.1499999999</v>
      </c>
      <c r="AI48" s="44">
        <f t="shared" si="83"/>
        <v>12.299763099554212</v>
      </c>
      <c r="AJ48" s="12">
        <f t="shared" si="11"/>
        <v>-993398.15</v>
      </c>
      <c r="AK48" s="44">
        <f t="shared" si="18"/>
        <v>13.39765753042508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24264.850000000006</v>
      </c>
      <c r="AO48" s="44">
        <f t="shared" si="13"/>
        <v>118.74935286708856</v>
      </c>
      <c r="AP48" s="12">
        <f t="shared" si="14"/>
        <v>92039.37</v>
      </c>
      <c r="AQ48" s="44">
        <f t="shared" si="35"/>
        <v>249.31159486120612</v>
      </c>
      <c r="AR48" s="12">
        <f t="shared" si="79"/>
        <v>-820575.42</v>
      </c>
      <c r="AS48" s="12">
        <f t="shared" si="80"/>
        <v>15.774257450498677</v>
      </c>
      <c r="AT48" s="34">
        <f>AF48</f>
        <v>153681.85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5"/>
        <v>256536.06</v>
      </c>
      <c r="L49" s="16">
        <v>109317.03</v>
      </c>
      <c r="M49" s="16">
        <f t="shared" si="86"/>
        <v>109317.03</v>
      </c>
      <c r="N49" s="16">
        <v>210726.7</v>
      </c>
      <c r="O49" s="25">
        <f>221100.64+0.02+606.42</f>
        <v>221707.08000000002</v>
      </c>
      <c r="P49" s="16">
        <f t="shared" si="87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9"/>
        <v>278352.34000000003</v>
      </c>
      <c r="V49" s="25">
        <v>19816.599999999999</v>
      </c>
      <c r="W49" s="25"/>
      <c r="X49" s="25"/>
      <c r="Y49" s="16">
        <f>V49</f>
        <v>19816.599999999999</v>
      </c>
      <c r="Z49" s="25">
        <v>336190</v>
      </c>
      <c r="AA49" s="25">
        <v>159900</v>
      </c>
      <c r="AB49" s="25">
        <v>12000</v>
      </c>
      <c r="AC49" s="25">
        <v>1542.65</v>
      </c>
      <c r="AD49" s="25">
        <v>2500</v>
      </c>
      <c r="AE49" s="25">
        <v>1542.65</v>
      </c>
      <c r="AF49" s="25">
        <f t="shared" si="23"/>
        <v>4042.65</v>
      </c>
      <c r="AG49" s="16">
        <f t="shared" si="10"/>
        <v>957.34999999999991</v>
      </c>
      <c r="AH49" s="44">
        <f t="shared" si="4"/>
        <v>-332147.34999999998</v>
      </c>
      <c r="AI49" s="44">
        <f t="shared" si="83"/>
        <v>1.2024896635830931</v>
      </c>
      <c r="AJ49" s="12">
        <f t="shared" si="11"/>
        <v>-155857.35</v>
      </c>
      <c r="AK49" s="42">
        <f t="shared" si="18"/>
        <v>2.5282363977485929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-7957.35</v>
      </c>
      <c r="AO49" s="42">
        <f t="shared" si="13"/>
        <v>33.688749999999999</v>
      </c>
      <c r="AP49" s="13">
        <f t="shared" si="14"/>
        <v>-15773.949999999999</v>
      </c>
      <c r="AQ49" s="42">
        <f t="shared" si="35"/>
        <v>20.400320943047749</v>
      </c>
      <c r="AR49" s="12">
        <f t="shared" si="79"/>
        <v>-105274.38</v>
      </c>
      <c r="AS49" s="12">
        <f t="shared" si="80"/>
        <v>3.6980971766247221</v>
      </c>
      <c r="AT49" s="31">
        <f>AF49</f>
        <v>4042.65</v>
      </c>
      <c r="AV49" s="25"/>
    </row>
    <row r="50" spans="1:48" s="10" customFormat="1" ht="36.75" hidden="1" customHeight="1" x14ac:dyDescent="0.3">
      <c r="A50" s="9"/>
      <c r="B50" s="118" t="s">
        <v>7</v>
      </c>
      <c r="C50" s="118"/>
      <c r="D50" s="118"/>
      <c r="E50" s="118"/>
      <c r="F50" s="118"/>
      <c r="G50" s="118"/>
      <c r="H50" s="118"/>
      <c r="I50" s="118"/>
      <c r="J50" s="12">
        <f t="shared" ref="J50:P50" si="90">J51+J53</f>
        <v>1294662.3799999999</v>
      </c>
      <c r="K50" s="12">
        <f t="shared" si="90"/>
        <v>4263051.83</v>
      </c>
      <c r="L50" s="12">
        <f t="shared" si="90"/>
        <v>389278.05</v>
      </c>
      <c r="M50" s="12">
        <f t="shared" si="90"/>
        <v>680094.5</v>
      </c>
      <c r="N50" s="12">
        <f t="shared" si="90"/>
        <v>2895802</v>
      </c>
      <c r="O50" s="12">
        <f t="shared" si="90"/>
        <v>4075696.4</v>
      </c>
      <c r="P50" s="12">
        <f t="shared" si="90"/>
        <v>4075696.4</v>
      </c>
      <c r="Q50" s="12">
        <v>4075696.4</v>
      </c>
      <c r="R50" s="12">
        <f t="shared" ref="R50" si="91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2">U51+U52+U53</f>
        <v>5495063.3199999994</v>
      </c>
      <c r="V50" s="12">
        <f t="shared" si="92"/>
        <v>1334381.46</v>
      </c>
      <c r="W50" s="12">
        <f t="shared" si="92"/>
        <v>0</v>
      </c>
      <c r="X50" s="12">
        <f t="shared" si="92"/>
        <v>0</v>
      </c>
      <c r="Y50" s="12">
        <f t="shared" si="92"/>
        <v>1334381.46</v>
      </c>
      <c r="Z50" s="12">
        <f t="shared" ref="Z50:AB50" si="93">Z51+Z53</f>
        <v>2715689.65</v>
      </c>
      <c r="AA50" s="12">
        <f t="shared" si="93"/>
        <v>2968389.45</v>
      </c>
      <c r="AB50" s="12">
        <f t="shared" si="93"/>
        <v>478612.28</v>
      </c>
      <c r="AC50" s="12">
        <f>AC51+AC52+AC53</f>
        <v>709836.58</v>
      </c>
      <c r="AD50" s="12">
        <f>AD51+AD52+AD53</f>
        <v>287920.15000000002</v>
      </c>
      <c r="AE50" s="12">
        <v>711441.29999999993</v>
      </c>
      <c r="AF50" s="12">
        <f>AF51+AF52+AF53</f>
        <v>999361.45</v>
      </c>
      <c r="AG50" s="12">
        <f t="shared" si="10"/>
        <v>-421916.42999999993</v>
      </c>
      <c r="AH50" s="44">
        <f t="shared" si="4"/>
        <v>-1716328.2</v>
      </c>
      <c r="AI50" s="44">
        <f t="shared" si="83"/>
        <v>36.799545559265212</v>
      </c>
      <c r="AJ50" s="12">
        <f t="shared" si="11"/>
        <v>-1969028.0000000002</v>
      </c>
      <c r="AK50" s="44">
        <f t="shared" si="18"/>
        <v>33.666790252202247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520749.16999999993</v>
      </c>
      <c r="AO50" s="44">
        <f t="shared" si="13"/>
        <v>208.80397176603992</v>
      </c>
      <c r="AP50" s="12">
        <f t="shared" si="14"/>
        <v>-335020.01</v>
      </c>
      <c r="AQ50" s="44">
        <f t="shared" si="35"/>
        <v>74.893235551998757</v>
      </c>
      <c r="AR50" s="12">
        <f t="shared" si="79"/>
        <v>319266.94999999995</v>
      </c>
      <c r="AS50" s="12">
        <f t="shared" si="80"/>
        <v>146.94449815430062</v>
      </c>
      <c r="AT50" s="34">
        <f t="shared" ref="AT50" si="94">AT51+AT53</f>
        <v>5048392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87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12414.46</v>
      </c>
      <c r="W51" s="13"/>
      <c r="X51" s="13"/>
      <c r="Y51" s="13">
        <f>V51</f>
        <v>12414.46</v>
      </c>
      <c r="Z51" s="13">
        <v>0</v>
      </c>
      <c r="AA51" s="13">
        <v>0</v>
      </c>
      <c r="AB51" s="13">
        <v>0</v>
      </c>
      <c r="AC51" s="114">
        <v>692436.58</v>
      </c>
      <c r="AD51" s="114">
        <v>-1201.3</v>
      </c>
      <c r="AE51" s="13">
        <v>694041.29999999993</v>
      </c>
      <c r="AF51" s="13">
        <f t="shared" si="23"/>
        <v>692839.99999999988</v>
      </c>
      <c r="AG51" s="16">
        <f t="shared" si="10"/>
        <v>-693637.88</v>
      </c>
      <c r="AH51" s="44">
        <f t="shared" si="4"/>
        <v>692839.99999999988</v>
      </c>
      <c r="AI51" s="44">
        <v>0</v>
      </c>
      <c r="AJ51" s="13">
        <f t="shared" si="11"/>
        <v>692839.99999999988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692839.99999999988</v>
      </c>
      <c r="AO51" s="42">
        <v>100</v>
      </c>
      <c r="AP51" s="13">
        <f t="shared" si="14"/>
        <v>680425.53999999992</v>
      </c>
      <c r="AQ51" s="44">
        <f t="shared" si="35"/>
        <v>5580.9112921544711</v>
      </c>
      <c r="AR51" s="12">
        <f t="shared" si="79"/>
        <v>303561.9499999999</v>
      </c>
      <c r="AS51" s="12">
        <f t="shared" si="80"/>
        <v>177.98075180452634</v>
      </c>
      <c r="AT51" s="31">
        <f>AF51</f>
        <v>692839.99999999988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88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5">T52</f>
        <v>155286.9</v>
      </c>
      <c r="V52" s="13">
        <v>9550</v>
      </c>
      <c r="W52" s="13"/>
      <c r="X52" s="13"/>
      <c r="Y52" s="13">
        <f t="shared" ref="Y52:Y53" si="96">V52</f>
        <v>9550</v>
      </c>
      <c r="Z52" s="13"/>
      <c r="AA52" s="13">
        <v>0</v>
      </c>
      <c r="AB52" s="13">
        <v>0</v>
      </c>
      <c r="AC52" s="114">
        <v>4400</v>
      </c>
      <c r="AD52" s="114">
        <v>11305</v>
      </c>
      <c r="AE52" s="13">
        <v>4400</v>
      </c>
      <c r="AF52" s="13">
        <f t="shared" si="23"/>
        <v>15705</v>
      </c>
      <c r="AG52" s="16">
        <f t="shared" si="10"/>
        <v>6905</v>
      </c>
      <c r="AH52" s="44"/>
      <c r="AI52" s="44"/>
      <c r="AJ52" s="13">
        <f t="shared" si="11"/>
        <v>15705</v>
      </c>
      <c r="AK52" s="42">
        <v>100</v>
      </c>
      <c r="AL52" s="13"/>
      <c r="AM52" s="13"/>
      <c r="AN52" s="42">
        <f t="shared" si="12"/>
        <v>15705</v>
      </c>
      <c r="AO52" s="42">
        <v>100</v>
      </c>
      <c r="AP52" s="13">
        <f t="shared" si="14"/>
        <v>6155</v>
      </c>
      <c r="AQ52" s="44">
        <f t="shared" si="35"/>
        <v>164.45026178010471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2968389.45</v>
      </c>
      <c r="L53" s="13">
        <v>0</v>
      </c>
      <c r="M53" s="37">
        <f>AF53</f>
        <v>290816.45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5"/>
        <v>5381046.0499999998</v>
      </c>
      <c r="V53" s="13">
        <v>1312417</v>
      </c>
      <c r="W53" s="13"/>
      <c r="X53" s="13"/>
      <c r="Y53" s="13">
        <f t="shared" si="96"/>
        <v>1312417</v>
      </c>
      <c r="Z53" s="13">
        <v>2715689.65</v>
      </c>
      <c r="AA53" s="13">
        <v>2968389.45</v>
      </c>
      <c r="AB53" s="13">
        <v>478612.28</v>
      </c>
      <c r="AC53" s="13">
        <f>2000+1000+10000</f>
        <v>13000</v>
      </c>
      <c r="AD53" s="13">
        <v>277816.45</v>
      </c>
      <c r="AE53" s="13">
        <v>13000</v>
      </c>
      <c r="AF53" s="13">
        <f t="shared" si="23"/>
        <v>290816.45</v>
      </c>
      <c r="AG53" s="16">
        <f t="shared" si="10"/>
        <v>264816.45</v>
      </c>
      <c r="AH53" s="44">
        <f t="shared" si="4"/>
        <v>-2424873.1999999997</v>
      </c>
      <c r="AI53" s="44">
        <f t="shared" si="83"/>
        <v>10.708751274284969</v>
      </c>
      <c r="AJ53" s="13">
        <f t="shared" si="11"/>
        <v>-2677573</v>
      </c>
      <c r="AK53" s="42">
        <f t="shared" si="18"/>
        <v>9.7971123701440188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-187795.83000000002</v>
      </c>
      <c r="AO53" s="42">
        <f t="shared" si="13"/>
        <v>60.762429664362138</v>
      </c>
      <c r="AP53" s="13">
        <f t="shared" si="14"/>
        <v>-1021600.55</v>
      </c>
      <c r="AQ53" s="42">
        <f t="shared" si="35"/>
        <v>22.158845092680146</v>
      </c>
      <c r="AR53" s="12">
        <f t="shared" si="79"/>
        <v>0</v>
      </c>
      <c r="AS53" s="12">
        <f t="shared" si="80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18" t="s">
        <v>1</v>
      </c>
      <c r="C54" s="118"/>
      <c r="D54" s="118"/>
      <c r="E54" s="118"/>
      <c r="F54" s="118"/>
      <c r="G54" s="118"/>
      <c r="H54" s="118"/>
      <c r="I54" s="118"/>
      <c r="J54" s="12">
        <f t="shared" ref="J54:R54" si="97">J55+J56+J57+J58+J59+J61+J62</f>
        <v>1731743649.9200001</v>
      </c>
      <c r="K54" s="12">
        <f t="shared" si="97"/>
        <v>1726065816.5200002</v>
      </c>
      <c r="L54" s="26">
        <f t="shared" si="97"/>
        <v>754564037.68999994</v>
      </c>
      <c r="M54" s="26">
        <f t="shared" si="97"/>
        <v>750829669.28999996</v>
      </c>
      <c r="N54" s="12">
        <f t="shared" si="97"/>
        <v>1949401304.4499998</v>
      </c>
      <c r="O54" s="12">
        <f t="shared" si="97"/>
        <v>1942881158.9100001</v>
      </c>
      <c r="P54" s="12">
        <f t="shared" si="97"/>
        <v>1942881158.9100001</v>
      </c>
      <c r="Q54" s="12">
        <v>1942881158.9100001</v>
      </c>
      <c r="R54" s="12">
        <f t="shared" si="97"/>
        <v>1942881158.9100001</v>
      </c>
      <c r="S54" s="12">
        <f t="shared" ref="S54:T54" si="98">S55+S56+S57+S58+S59+S60+S61+S62</f>
        <v>2058217674.4300001</v>
      </c>
      <c r="T54" s="12">
        <f t="shared" si="98"/>
        <v>2039899297.8500004</v>
      </c>
      <c r="U54" s="12">
        <f t="shared" ref="U54:AB54" si="99">U55+U56+U57+U58+U59+U61+U62</f>
        <v>2039899297.8500004</v>
      </c>
      <c r="V54" s="12">
        <f>V55+V56+V57+V58+V59+V60+V61+V62</f>
        <v>179879676.13000003</v>
      </c>
      <c r="W54" s="12"/>
      <c r="X54" s="12">
        <f t="shared" si="99"/>
        <v>0</v>
      </c>
      <c r="Y54" s="12">
        <f>Y55+Y56+Y57+Y58+Y59+Y60+Y61+Y62</f>
        <v>179879676.13000003</v>
      </c>
      <c r="Z54" s="12">
        <f t="shared" si="99"/>
        <v>1741578685.6100001</v>
      </c>
      <c r="AA54" s="12">
        <f t="shared" si="99"/>
        <v>1547736403.99</v>
      </c>
      <c r="AB54" s="12">
        <f t="shared" si="99"/>
        <v>284191812.36000001</v>
      </c>
      <c r="AC54" s="12">
        <f>AC55+AC56+AC57+AC58+AC59+AC61+AC62</f>
        <v>2296333.91</v>
      </c>
      <c r="AD54" s="12">
        <f>AD55+AD56+AD57+AD58+AD59+AD61+AD62</f>
        <v>49351260.969999999</v>
      </c>
      <c r="AE54" s="12">
        <v>22080796.140000001</v>
      </c>
      <c r="AF54" s="12">
        <f t="shared" ref="AF54" si="100">AF55+AF56+AF57+AF58+AF59+AF61+AF62</f>
        <v>71432057.109999999</v>
      </c>
      <c r="AG54" s="12">
        <f t="shared" si="10"/>
        <v>47054927.060000002</v>
      </c>
      <c r="AH54" s="44">
        <f t="shared" si="4"/>
        <v>-1670146628.5000002</v>
      </c>
      <c r="AI54" s="44">
        <f t="shared" si="83"/>
        <v>4.1015693232936199</v>
      </c>
      <c r="AJ54" s="12">
        <f t="shared" si="11"/>
        <v>-1476304346.8800001</v>
      </c>
      <c r="AK54" s="44">
        <f t="shared" si="18"/>
        <v>4.6152598676267571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-212759755.25</v>
      </c>
      <c r="AO54" s="44">
        <f t="shared" si="13"/>
        <v>25.135156610181795</v>
      </c>
      <c r="AP54" s="12">
        <f t="shared" si="14"/>
        <v>-108447619.02000003</v>
      </c>
      <c r="AQ54" s="44">
        <f t="shared" si="35"/>
        <v>39.711021637806184</v>
      </c>
      <c r="AR54" s="12">
        <f t="shared" si="79"/>
        <v>-679397612.17999995</v>
      </c>
      <c r="AS54" s="12">
        <f t="shared" si="80"/>
        <v>9.5137499264710232</v>
      </c>
      <c r="AT54" s="34" t="e">
        <f t="shared" ref="AT54" si="101">AT55+AT56+AT57+AT58+AT59+AT61+AT62</f>
        <v>#REF!</v>
      </c>
    </row>
    <row r="55" spans="1:48" s="10" customFormat="1" ht="38.25" customHeight="1" x14ac:dyDescent="0.3">
      <c r="A55" s="9"/>
      <c r="B55" s="118" t="s">
        <v>6</v>
      </c>
      <c r="C55" s="118"/>
      <c r="D55" s="118"/>
      <c r="E55" s="118"/>
      <c r="F55" s="118"/>
      <c r="G55" s="118"/>
      <c r="H55" s="118"/>
      <c r="I55" s="118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2">O55</f>
        <v>436509000</v>
      </c>
      <c r="Q55" s="12">
        <v>436509000</v>
      </c>
      <c r="R55" s="12">
        <f t="shared" ref="R55:R62" si="103">Q55</f>
        <v>436509000</v>
      </c>
      <c r="S55" s="12">
        <v>543552380</v>
      </c>
      <c r="T55" s="12">
        <v>543552380</v>
      </c>
      <c r="U55" s="12">
        <f t="shared" ref="U55:U62" si="104">T55</f>
        <v>543552380</v>
      </c>
      <c r="V55" s="12">
        <v>72680729</v>
      </c>
      <c r="W55" s="12"/>
      <c r="X55" s="12"/>
      <c r="Y55" s="12">
        <f t="shared" ref="Y55:Y62" si="105">V55</f>
        <v>72680729</v>
      </c>
      <c r="Z55" s="12">
        <v>543282000</v>
      </c>
      <c r="AA55" s="12">
        <v>504630000</v>
      </c>
      <c r="AB55" s="34">
        <v>84105000</v>
      </c>
      <c r="AC55" s="12">
        <v>0</v>
      </c>
      <c r="AD55" s="12">
        <v>25457332</v>
      </c>
      <c r="AE55" s="12">
        <v>42052500</v>
      </c>
      <c r="AF55" s="12">
        <f t="shared" si="23"/>
        <v>67509832</v>
      </c>
      <c r="AG55" s="12">
        <f t="shared" si="10"/>
        <v>25457332</v>
      </c>
      <c r="AH55" s="44">
        <f t="shared" si="4"/>
        <v>-475772168</v>
      </c>
      <c r="AI55" s="44">
        <f t="shared" si="83"/>
        <v>12.426296472182035</v>
      </c>
      <c r="AJ55" s="12">
        <f t="shared" si="11"/>
        <v>-437120168</v>
      </c>
      <c r="AK55" s="44">
        <f t="shared" si="18"/>
        <v>13.378085329845629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-16595168</v>
      </c>
      <c r="AO55" s="44">
        <f t="shared" si="13"/>
        <v>80.268511979073779</v>
      </c>
      <c r="AP55" s="12">
        <f t="shared" si="14"/>
        <v>-5170897</v>
      </c>
      <c r="AQ55" s="44">
        <f t="shared" si="35"/>
        <v>92.885463490604224</v>
      </c>
      <c r="AR55" s="12">
        <f t="shared" si="79"/>
        <v>-133979168</v>
      </c>
      <c r="AS55" s="12">
        <f t="shared" si="80"/>
        <v>33.505467792286424</v>
      </c>
      <c r="AT55" s="34">
        <v>436509000</v>
      </c>
    </row>
    <row r="56" spans="1:48" s="10" customFormat="1" ht="43.5" customHeight="1" x14ac:dyDescent="0.3">
      <c r="A56" s="9"/>
      <c r="B56" s="118" t="s">
        <v>5</v>
      </c>
      <c r="C56" s="118"/>
      <c r="D56" s="118"/>
      <c r="E56" s="118"/>
      <c r="F56" s="118"/>
      <c r="G56" s="118"/>
      <c r="H56" s="118"/>
      <c r="I56" s="118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2"/>
        <v>266680542.02000001</v>
      </c>
      <c r="Q56" s="12">
        <v>266680542.02000001</v>
      </c>
      <c r="R56" s="12">
        <f t="shared" si="103"/>
        <v>266680542.02000001</v>
      </c>
      <c r="S56" s="12">
        <v>448087921.25</v>
      </c>
      <c r="T56" s="12">
        <v>432403468.83000004</v>
      </c>
      <c r="U56" s="12">
        <f t="shared" si="104"/>
        <v>432403468.83000004</v>
      </c>
      <c r="V56" s="12">
        <v>0</v>
      </c>
      <c r="W56" s="12"/>
      <c r="X56" s="12"/>
      <c r="Y56" s="12">
        <f t="shared" si="105"/>
        <v>0</v>
      </c>
      <c r="Z56" s="12">
        <v>164450526.09999999</v>
      </c>
      <c r="AA56" s="12">
        <v>199694467.69999999</v>
      </c>
      <c r="AB56" s="12">
        <v>6842345.4699999997</v>
      </c>
      <c r="AC56" s="12">
        <v>0</v>
      </c>
      <c r="AD56" s="12">
        <v>0</v>
      </c>
      <c r="AE56" s="12">
        <v>0</v>
      </c>
      <c r="AF56" s="12">
        <f t="shared" si="23"/>
        <v>0</v>
      </c>
      <c r="AG56" s="12">
        <f t="shared" si="10"/>
        <v>0</v>
      </c>
      <c r="AH56" s="44">
        <f t="shared" si="4"/>
        <v>-164450526.09999999</v>
      </c>
      <c r="AI56" s="44">
        <f t="shared" si="83"/>
        <v>0</v>
      </c>
      <c r="AJ56" s="12">
        <f t="shared" si="11"/>
        <v>-199694467.69999999</v>
      </c>
      <c r="AK56" s="44">
        <f t="shared" si="18"/>
        <v>0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-6842345.4699999997</v>
      </c>
      <c r="AO56" s="44">
        <f t="shared" si="13"/>
        <v>0</v>
      </c>
      <c r="AP56" s="12">
        <f t="shared" si="14"/>
        <v>0</v>
      </c>
      <c r="AQ56" s="44">
        <v>0</v>
      </c>
      <c r="AR56" s="12">
        <f t="shared" si="79"/>
        <v>-68252184.099999994</v>
      </c>
      <c r="AS56" s="12">
        <f t="shared" si="80"/>
        <v>0</v>
      </c>
      <c r="AT56" s="34" t="e">
        <f>#REF!</f>
        <v>#REF!</v>
      </c>
    </row>
    <row r="57" spans="1:48" s="10" customFormat="1" ht="45" customHeight="1" x14ac:dyDescent="0.3">
      <c r="A57" s="9"/>
      <c r="B57" s="118" t="s">
        <v>4</v>
      </c>
      <c r="C57" s="118"/>
      <c r="D57" s="118"/>
      <c r="E57" s="118"/>
      <c r="F57" s="118"/>
      <c r="G57" s="118"/>
      <c r="H57" s="118"/>
      <c r="I57" s="118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2"/>
        <v>1213354064.45</v>
      </c>
      <c r="Q57" s="12">
        <v>1213354064.45</v>
      </c>
      <c r="R57" s="12">
        <f t="shared" si="103"/>
        <v>1213354064.45</v>
      </c>
      <c r="S57" s="12">
        <v>1052485113.04</v>
      </c>
      <c r="T57" s="12">
        <v>1050017221.74</v>
      </c>
      <c r="U57" s="12">
        <f t="shared" si="104"/>
        <v>1050017221.74</v>
      </c>
      <c r="V57" s="12">
        <v>107985936.03</v>
      </c>
      <c r="W57" s="12"/>
      <c r="X57" s="12"/>
      <c r="Y57" s="12">
        <f t="shared" si="105"/>
        <v>107985936.03</v>
      </c>
      <c r="Z57" s="12">
        <v>1032066181.7</v>
      </c>
      <c r="AA57" s="12">
        <v>841614535.71000004</v>
      </c>
      <c r="AB57" s="12">
        <v>192942671.09</v>
      </c>
      <c r="AC57" s="12">
        <v>2296333.91</v>
      </c>
      <c r="AD57" s="12">
        <v>23743031.07</v>
      </c>
      <c r="AE57" s="12">
        <v>36904613.959999993</v>
      </c>
      <c r="AF57" s="12">
        <f t="shared" si="23"/>
        <v>60647645.029999994</v>
      </c>
      <c r="AG57" s="12">
        <f t="shared" si="10"/>
        <v>21446697.16</v>
      </c>
      <c r="AH57" s="44">
        <f t="shared" si="4"/>
        <v>-971418536.67000008</v>
      </c>
      <c r="AI57" s="44">
        <f t="shared" si="83"/>
        <v>5.8763329431163349</v>
      </c>
      <c r="AJ57" s="12">
        <f t="shared" si="11"/>
        <v>-780966890.68000007</v>
      </c>
      <c r="AK57" s="44">
        <f t="shared" si="18"/>
        <v>7.2061071258514602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-132295026.06</v>
      </c>
      <c r="AO57" s="44">
        <f t="shared" si="13"/>
        <v>31.43298716006181</v>
      </c>
      <c r="AP57" s="12">
        <f t="shared" si="14"/>
        <v>-47338291.000000007</v>
      </c>
      <c r="AQ57" s="44">
        <f t="shared" si="35"/>
        <v>56.162540474855199</v>
      </c>
      <c r="AR57" s="12">
        <f t="shared" si="79"/>
        <v>-423851037.09000003</v>
      </c>
      <c r="AS57" s="12">
        <f t="shared" si="80"/>
        <v>12.517607842528427</v>
      </c>
      <c r="AT57" s="34" t="e">
        <f>#REF!</f>
        <v>#REF!</v>
      </c>
    </row>
    <row r="58" spans="1:48" s="10" customFormat="1" ht="27" customHeight="1" x14ac:dyDescent="0.3">
      <c r="A58" s="9"/>
      <c r="B58" s="118" t="s">
        <v>3</v>
      </c>
      <c r="C58" s="118"/>
      <c r="D58" s="118"/>
      <c r="E58" s="118"/>
      <c r="F58" s="118"/>
      <c r="G58" s="118"/>
      <c r="H58" s="118"/>
      <c r="I58" s="118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2"/>
        <v>31536396.41</v>
      </c>
      <c r="Q58" s="12">
        <v>31536396.41</v>
      </c>
      <c r="R58" s="12">
        <f t="shared" si="103"/>
        <v>31536396.41</v>
      </c>
      <c r="S58" s="12">
        <v>14687976.27</v>
      </c>
      <c r="T58" s="12">
        <v>14514443.27</v>
      </c>
      <c r="U58" s="12">
        <f t="shared" si="104"/>
        <v>14514443.27</v>
      </c>
      <c r="V58" s="12">
        <v>280758.06</v>
      </c>
      <c r="W58" s="12"/>
      <c r="X58" s="12"/>
      <c r="Y58" s="12">
        <f t="shared" si="105"/>
        <v>280758.06</v>
      </c>
      <c r="Z58" s="12">
        <v>1779977.81</v>
      </c>
      <c r="AA58" s="12">
        <v>1797400.58</v>
      </c>
      <c r="AB58" s="12">
        <v>301795.8</v>
      </c>
      <c r="AC58" s="12">
        <v>0</v>
      </c>
      <c r="AD58" s="12">
        <v>150897.9</v>
      </c>
      <c r="AE58" s="12">
        <v>150897.9</v>
      </c>
      <c r="AF58" s="12">
        <f t="shared" si="23"/>
        <v>301795.8</v>
      </c>
      <c r="AG58" s="12">
        <f t="shared" si="10"/>
        <v>150897.9</v>
      </c>
      <c r="AH58" s="44">
        <f t="shared" si="4"/>
        <v>-1478182.01</v>
      </c>
      <c r="AI58" s="44">
        <f t="shared" si="83"/>
        <v>16.95503159109607</v>
      </c>
      <c r="AJ58" s="12">
        <f t="shared" si="11"/>
        <v>-1495604.78</v>
      </c>
      <c r="AK58" s="44">
        <f t="shared" si="18"/>
        <v>16.790681129078081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0</v>
      </c>
      <c r="AO58" s="44">
        <f t="shared" si="13"/>
        <v>100</v>
      </c>
      <c r="AP58" s="12">
        <f t="shared" si="14"/>
        <v>21037.739999999991</v>
      </c>
      <c r="AQ58" s="44">
        <f t="shared" si="35"/>
        <v>107.49319182501831</v>
      </c>
      <c r="AR58" s="12">
        <f t="shared" si="79"/>
        <v>-227604.63000000006</v>
      </c>
      <c r="AS58" s="12">
        <f t="shared" si="80"/>
        <v>57.007093855212766</v>
      </c>
      <c r="AT58" s="34" t="e">
        <f>#REF!</f>
        <v>#REF!</v>
      </c>
    </row>
    <row r="59" spans="1:48" s="10" customFormat="1" ht="39" customHeight="1" x14ac:dyDescent="0.3">
      <c r="A59" s="9"/>
      <c r="B59" s="118" t="s">
        <v>2</v>
      </c>
      <c r="C59" s="118"/>
      <c r="D59" s="118"/>
      <c r="E59" s="118"/>
      <c r="F59" s="118"/>
      <c r="G59" s="118"/>
      <c r="H59" s="118"/>
      <c r="I59" s="118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2"/>
        <v>18244.099999999999</v>
      </c>
      <c r="Q59" s="12">
        <v>18244.099999999999</v>
      </c>
      <c r="R59" s="12">
        <f t="shared" si="103"/>
        <v>18244.099999999999</v>
      </c>
      <c r="S59" s="12">
        <v>102600.69</v>
      </c>
      <c r="T59" s="12">
        <v>110100.69</v>
      </c>
      <c r="U59" s="12">
        <f t="shared" si="104"/>
        <v>110100.69</v>
      </c>
      <c r="V59" s="12">
        <v>2043.4</v>
      </c>
      <c r="W59" s="12"/>
      <c r="X59" s="12"/>
      <c r="Y59" s="12">
        <f t="shared" si="105"/>
        <v>2043.4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3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-2043.4</v>
      </c>
      <c r="AQ59" s="44">
        <f t="shared" si="35"/>
        <v>0</v>
      </c>
      <c r="AR59" s="12">
        <f t="shared" si="79"/>
        <v>-15145.1</v>
      </c>
      <c r="AS59" s="12">
        <f t="shared" si="80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5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23"/>
        <v>0</v>
      </c>
      <c r="AG60" s="12">
        <f>AD60-AC60</f>
        <v>0</v>
      </c>
      <c r="AH60" s="44">
        <f t="shared" si="4"/>
        <v>0</v>
      </c>
      <c r="AI60" s="44">
        <v>0</v>
      </c>
      <c r="AJ60" s="12">
        <f t="shared" si="11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2"/>
        <v>280404</v>
      </c>
      <c r="Q61" s="12">
        <v>280404</v>
      </c>
      <c r="R61" s="12">
        <f t="shared" si="103"/>
        <v>280404</v>
      </c>
      <c r="S61" s="12">
        <v>0</v>
      </c>
      <c r="T61" s="12">
        <v>0.13999999999941792</v>
      </c>
      <c r="U61" s="12">
        <f t="shared" si="104"/>
        <v>0.13999999999941792</v>
      </c>
      <c r="V61" s="12">
        <v>27674.33</v>
      </c>
      <c r="W61" s="12"/>
      <c r="X61" s="12"/>
      <c r="Y61" s="12">
        <f t="shared" si="105"/>
        <v>27674.33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3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-27674.33</v>
      </c>
      <c r="AQ61" s="44">
        <f t="shared" si="35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18" t="s">
        <v>0</v>
      </c>
      <c r="C62" s="118"/>
      <c r="D62" s="118"/>
      <c r="E62" s="118"/>
      <c r="F62" s="118"/>
      <c r="G62" s="118"/>
      <c r="H62" s="118"/>
      <c r="I62" s="118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2"/>
        <v>-5497492.0700000003</v>
      </c>
      <c r="Q62" s="12">
        <v>-5497492.0700000003</v>
      </c>
      <c r="R62" s="12">
        <f t="shared" si="103"/>
        <v>-5497492.0700000003</v>
      </c>
      <c r="S62" s="12">
        <v>-698316.82</v>
      </c>
      <c r="T62" s="12">
        <v>-698316.82000000018</v>
      </c>
      <c r="U62" s="12">
        <f t="shared" si="104"/>
        <v>-698316.82000000018</v>
      </c>
      <c r="V62" s="12">
        <v>-1097464.69</v>
      </c>
      <c r="W62" s="12"/>
      <c r="X62" s="12"/>
      <c r="Y62" s="12">
        <f t="shared" si="105"/>
        <v>-1097464.69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-57027215.719999999</v>
      </c>
      <c r="AF62" s="12">
        <f t="shared" si="23"/>
        <v>-57027215.719999999</v>
      </c>
      <c r="AG62" s="12">
        <f t="shared" si="10"/>
        <v>0</v>
      </c>
      <c r="AH62" s="44">
        <f t="shared" si="4"/>
        <v>-57027215.719999999</v>
      </c>
      <c r="AI62" s="44">
        <v>0</v>
      </c>
      <c r="AJ62" s="12">
        <f t="shared" si="11"/>
        <v>-57027215.719999999</v>
      </c>
      <c r="AK62" s="44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-57027215.719999999</v>
      </c>
      <c r="AO62" s="44">
        <v>0</v>
      </c>
      <c r="AP62" s="12">
        <f t="shared" si="14"/>
        <v>-55929751.030000001</v>
      </c>
      <c r="AQ62" s="44">
        <f t="shared" si="35"/>
        <v>5196.2688403214142</v>
      </c>
      <c r="AR62" s="12">
        <f>AF62-M62</f>
        <v>-53072473.259999998</v>
      </c>
      <c r="AS62" s="12">
        <f>IF(M62=0,0,AF62/M62*100)</f>
        <v>1441.995687375304</v>
      </c>
      <c r="AT62" s="34">
        <f>AF62</f>
        <v>-57027215.719999999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6">J54+J7</f>
        <v>2092393430.8699999</v>
      </c>
      <c r="K63" s="13">
        <f t="shared" si="106"/>
        <v>2071137908.7351346</v>
      </c>
      <c r="L63" s="28">
        <f t="shared" si="106"/>
        <v>881017080.54999995</v>
      </c>
      <c r="M63" s="26">
        <f t="shared" si="106"/>
        <v>870098056.6655432</v>
      </c>
      <c r="N63" s="12">
        <f t="shared" si="106"/>
        <v>2309803775.2699995</v>
      </c>
      <c r="O63" s="12">
        <f t="shared" si="106"/>
        <v>2328450949.6999998</v>
      </c>
      <c r="P63" s="12">
        <f t="shared" si="106"/>
        <v>2327457942.815587</v>
      </c>
      <c r="Q63" s="12">
        <f t="shared" si="106"/>
        <v>2328450949.6999998</v>
      </c>
      <c r="R63" s="12">
        <f t="shared" si="106"/>
        <v>2324234116.085587</v>
      </c>
      <c r="S63" s="12">
        <f t="shared" si="106"/>
        <v>2468054121.4099998</v>
      </c>
      <c r="T63" s="12">
        <f t="shared" si="106"/>
        <v>2473502940.9500003</v>
      </c>
      <c r="U63" s="12">
        <f t="shared" si="106"/>
        <v>2610269494.995842</v>
      </c>
      <c r="V63" s="12">
        <f t="shared" si="106"/>
        <v>199611153.49000001</v>
      </c>
      <c r="W63" s="12"/>
      <c r="X63" s="12">
        <f t="shared" ref="X63:AF63" si="107">X54+X7</f>
        <v>0</v>
      </c>
      <c r="Y63" s="12">
        <f t="shared" si="107"/>
        <v>206908993.60278898</v>
      </c>
      <c r="Z63" s="12">
        <f t="shared" si="107"/>
        <v>2141993785.2600002</v>
      </c>
      <c r="AA63" s="12">
        <f t="shared" si="107"/>
        <v>2125335858.95</v>
      </c>
      <c r="AB63" s="12">
        <f t="shared" si="107"/>
        <v>332557977.15000004</v>
      </c>
      <c r="AC63" s="12">
        <f t="shared" si="107"/>
        <v>18584896.740000002</v>
      </c>
      <c r="AD63" s="12">
        <f t="shared" si="107"/>
        <v>60335340.719999999</v>
      </c>
      <c r="AE63" s="12">
        <f t="shared" si="107"/>
        <v>45103312.43</v>
      </c>
      <c r="AF63" s="12">
        <f t="shared" si="107"/>
        <v>105438653.15000001</v>
      </c>
      <c r="AG63" s="12">
        <f t="shared" si="10"/>
        <v>41750443.979999997</v>
      </c>
      <c r="AH63" s="12">
        <f t="shared" si="4"/>
        <v>-2036555132.1100001</v>
      </c>
      <c r="AI63" s="12">
        <f>AF63/Z63*100</f>
        <v>4.9224537379879285</v>
      </c>
      <c r="AJ63" s="12">
        <f>AF63-AA63</f>
        <v>-2019897205.8</v>
      </c>
      <c r="AK63" s="12">
        <f t="shared" si="18"/>
        <v>4.9610348738994539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-227119324.00000003</v>
      </c>
      <c r="AO63" s="12">
        <f t="shared" si="13"/>
        <v>31.705344750290561</v>
      </c>
      <c r="AP63" s="12">
        <f t="shared" si="14"/>
        <v>-101470340.45278898</v>
      </c>
      <c r="AQ63" s="12">
        <f t="shared" si="35"/>
        <v>50.958951234577349</v>
      </c>
      <c r="AR63" s="12">
        <f>AF63-M63</f>
        <v>-764659403.51554322</v>
      </c>
      <c r="AS63" s="12">
        <f>IF(M63=0,0,AF63/M63*100)</f>
        <v>12.118019611958465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75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206908993.60278895</v>
      </c>
      <c r="W65" s="94"/>
      <c r="X65" s="101"/>
      <c r="Y65" s="94"/>
      <c r="Z65" s="94"/>
      <c r="AA65" s="94"/>
      <c r="AB65" s="94">
        <v>1581194711.4100001</v>
      </c>
      <c r="AC65" s="95"/>
      <c r="AD65" s="110"/>
      <c r="AE65" s="112">
        <v>45103312.43</v>
      </c>
      <c r="AF65" s="110">
        <v>1229277981.27</v>
      </c>
      <c r="AG65" s="95"/>
      <c r="AJ65" s="89"/>
      <c r="AK65" s="116"/>
      <c r="AL65" s="116"/>
      <c r="AM65" s="116"/>
      <c r="AN65" s="116"/>
      <c r="AO65" s="116"/>
      <c r="AP65" s="116"/>
    </row>
    <row r="66" spans="1:44" s="78" customFormat="1" ht="18" customHeight="1" x14ac:dyDescent="0.3">
      <c r="I66" s="78" t="s">
        <v>83</v>
      </c>
      <c r="O66" s="78" t="s">
        <v>40</v>
      </c>
      <c r="Q66" s="88"/>
      <c r="V66" s="88">
        <f>V63-V10+Y10</f>
        <v>206908993.60278895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2024-02-09T16:35:45Z</cp:lastPrinted>
  <dcterms:created xsi:type="dcterms:W3CDTF">2018-12-30T09:36:16Z</dcterms:created>
  <dcterms:modified xsi:type="dcterms:W3CDTF">2024-02-12T10:40:00Z</dcterms:modified>
</cp:coreProperties>
</file>